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5. бюджет 2022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  <externalReference r:id="rId3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F342" i="8" l="1"/>
  <c r="E342" i="8"/>
  <c r="F57" i="8"/>
  <c r="F53" i="8"/>
  <c r="F264" i="8"/>
  <c r="F405" i="8"/>
  <c r="P16" i="8"/>
  <c r="O16" i="8"/>
  <c r="K16" i="8"/>
  <c r="K14" i="8"/>
  <c r="K409" i="8"/>
  <c r="J16" i="8"/>
  <c r="F16" i="8"/>
  <c r="G16" i="8"/>
  <c r="H16" i="8"/>
  <c r="I16" i="8"/>
  <c r="E16" i="8"/>
  <c r="K17" i="8"/>
  <c r="O36" i="8"/>
  <c r="E36" i="8"/>
  <c r="F407" i="8"/>
  <c r="E405" i="8"/>
  <c r="H342" i="8"/>
  <c r="F142" i="8"/>
  <c r="F105" i="8"/>
  <c r="F96" i="8"/>
  <c r="F124" i="8"/>
  <c r="F107" i="8"/>
  <c r="H57" i="8"/>
  <c r="H53" i="8"/>
  <c r="H51" i="8"/>
  <c r="H42" i="8"/>
  <c r="H106" i="8"/>
  <c r="F106" i="8"/>
  <c r="H401" i="8"/>
  <c r="F401" i="8"/>
  <c r="H404" i="8"/>
  <c r="F404" i="8"/>
  <c r="H157" i="8"/>
  <c r="H425" i="8"/>
  <c r="F157" i="8"/>
  <c r="H17" i="8"/>
  <c r="F17" i="8"/>
  <c r="K367" i="8"/>
  <c r="K364" i="8"/>
  <c r="K321" i="8"/>
  <c r="K312" i="8"/>
  <c r="K346" i="8"/>
  <c r="K354" i="8"/>
  <c r="F41" i="8"/>
  <c r="F32" i="8"/>
  <c r="E32" i="8"/>
  <c r="K32" i="8"/>
  <c r="K414" i="8"/>
  <c r="K415" i="8"/>
  <c r="K417" i="8"/>
  <c r="K419" i="8"/>
  <c r="E414" i="8"/>
  <c r="F92" i="8"/>
  <c r="H275" i="8"/>
  <c r="F275" i="8"/>
  <c r="E275" i="8"/>
  <c r="H255" i="8"/>
  <c r="F255" i="8"/>
  <c r="H261" i="8"/>
  <c r="F261" i="8"/>
  <c r="E261" i="8"/>
  <c r="P261" i="8"/>
  <c r="H260" i="8"/>
  <c r="F260" i="8"/>
  <c r="E260" i="8"/>
  <c r="P260" i="8"/>
  <c r="H258" i="8"/>
  <c r="H253" i="8"/>
  <c r="H251" i="8"/>
  <c r="F258" i="8"/>
  <c r="E258" i="8"/>
  <c r="H81" i="8"/>
  <c r="F81" i="8"/>
  <c r="H75" i="8"/>
  <c r="F75" i="8"/>
  <c r="E57" i="8"/>
  <c r="H247" i="8"/>
  <c r="F247" i="8"/>
  <c r="F113" i="8"/>
  <c r="G67" i="8"/>
  <c r="F67" i="8"/>
  <c r="G60" i="8"/>
  <c r="G51" i="8"/>
  <c r="G42" i="8"/>
  <c r="F60" i="8"/>
  <c r="F29" i="8"/>
  <c r="O338" i="8"/>
  <c r="J338" i="8"/>
  <c r="P338" i="8"/>
  <c r="K57" i="8"/>
  <c r="K53" i="8"/>
  <c r="F84" i="8"/>
  <c r="E84" i="8"/>
  <c r="F398" i="8"/>
  <c r="H322" i="8"/>
  <c r="F322" i="8"/>
  <c r="E53" i="8"/>
  <c r="F45" i="8"/>
  <c r="O34" i="8"/>
  <c r="O32" i="8"/>
  <c r="F43" i="8"/>
  <c r="G255" i="8"/>
  <c r="E255" i="8"/>
  <c r="G425" i="8"/>
  <c r="O75" i="8"/>
  <c r="J75" i="8"/>
  <c r="O57" i="8"/>
  <c r="O258" i="8"/>
  <c r="J258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O324" i="8"/>
  <c r="J324" i="8"/>
  <c r="F400" i="8"/>
  <c r="F399" i="8"/>
  <c r="H14" i="8"/>
  <c r="H409" i="8"/>
  <c r="E178" i="8"/>
  <c r="O151" i="8"/>
  <c r="J151" i="8"/>
  <c r="J88" i="8"/>
  <c r="O124" i="8"/>
  <c r="O107" i="8"/>
  <c r="E124" i="8"/>
  <c r="P124" i="8"/>
  <c r="E141" i="8"/>
  <c r="E404" i="8"/>
  <c r="E157" i="8"/>
  <c r="K156" i="8"/>
  <c r="K154" i="8"/>
  <c r="F156" i="8"/>
  <c r="F154" i="8"/>
  <c r="O219" i="8"/>
  <c r="J219" i="8"/>
  <c r="P219" i="8"/>
  <c r="O220" i="8"/>
  <c r="O221" i="8"/>
  <c r="J221" i="8"/>
  <c r="P221" i="8"/>
  <c r="O222" i="8"/>
  <c r="J222" i="8"/>
  <c r="O223" i="8"/>
  <c r="O224" i="8"/>
  <c r="J224" i="8"/>
  <c r="P224" i="8"/>
  <c r="J220" i="8"/>
  <c r="J223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O386" i="8"/>
  <c r="J386" i="8"/>
  <c r="J385" i="8"/>
  <c r="J383" i="8"/>
  <c r="E227" i="8"/>
  <c r="P227" i="8"/>
  <c r="E225" i="8"/>
  <c r="E142" i="8"/>
  <c r="P142" i="8"/>
  <c r="E25" i="8"/>
  <c r="O17" i="8"/>
  <c r="J17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J379" i="8"/>
  <c r="E88" i="8"/>
  <c r="O343" i="8"/>
  <c r="O315" i="8"/>
  <c r="L315" i="8"/>
  <c r="M315" i="8"/>
  <c r="N315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O337" i="8"/>
  <c r="J337" i="8"/>
  <c r="P337" i="8"/>
  <c r="H156" i="8"/>
  <c r="H154" i="8"/>
  <c r="E215" i="8"/>
  <c r="O342" i="8"/>
  <c r="J342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P407" i="8"/>
  <c r="E113" i="8"/>
  <c r="P113" i="8"/>
  <c r="O261" i="8"/>
  <c r="J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E382" i="8"/>
  <c r="E41" i="8"/>
  <c r="E338" i="8"/>
  <c r="O285" i="8"/>
  <c r="O284" i="8"/>
  <c r="O282" i="8"/>
  <c r="O322" i="8"/>
  <c r="G321" i="8"/>
  <c r="G312" i="8"/>
  <c r="G409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J50" i="8"/>
  <c r="E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P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146" i="8"/>
  <c r="P146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L42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N403" i="8"/>
  <c r="N402" i="8"/>
  <c r="M403" i="8"/>
  <c r="M402" i="8"/>
  <c r="L403" i="8"/>
  <c r="L402" i="8"/>
  <c r="I403" i="8"/>
  <c r="I402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E334" i="8"/>
  <c r="N333" i="8"/>
  <c r="I333" i="8"/>
  <c r="E332" i="8"/>
  <c r="O331" i="8"/>
  <c r="J331" i="8"/>
  <c r="P331" i="8"/>
  <c r="E330" i="8"/>
  <c r="E327" i="8"/>
  <c r="P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P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L284" i="8"/>
  <c r="L282" i="8"/>
  <c r="L409" i="8"/>
  <c r="I287" i="8"/>
  <c r="E287" i="8"/>
  <c r="E286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P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J156" i="8"/>
  <c r="F155" i="8"/>
  <c r="O153" i="8"/>
  <c r="J153" i="8"/>
  <c r="E153" i="8"/>
  <c r="O152" i="8"/>
  <c r="J152" i="8"/>
  <c r="E152" i="8"/>
  <c r="P152" i="8"/>
  <c r="E151" i="8"/>
  <c r="P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E31" i="8"/>
  <c r="P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P247" i="8"/>
  <c r="P246" i="8"/>
  <c r="E303" i="8"/>
  <c r="P303" i="8"/>
  <c r="E60" i="8"/>
  <c r="E106" i="8"/>
  <c r="E105" i="8"/>
  <c r="E96" i="8"/>
  <c r="P310" i="8"/>
  <c r="I312" i="8"/>
  <c r="O362" i="8"/>
  <c r="J362" i="8"/>
  <c r="P36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K105" i="8"/>
  <c r="K96" i="8"/>
  <c r="E357" i="8"/>
  <c r="E322" i="8"/>
  <c r="P322" i="8"/>
  <c r="J322" i="8"/>
  <c r="E344" i="8"/>
  <c r="J389" i="8"/>
  <c r="E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153" i="8"/>
  <c r="P272" i="8"/>
  <c r="E52" i="8"/>
  <c r="E279" i="8"/>
  <c r="P171" i="8"/>
  <c r="P183" i="8"/>
  <c r="P189" i="8"/>
  <c r="P70" i="8"/>
  <c r="J124" i="8"/>
  <c r="O53" i="8"/>
  <c r="O51" i="8"/>
  <c r="O42" i="8"/>
  <c r="J53" i="8"/>
  <c r="O371" i="8"/>
  <c r="J371" i="8"/>
  <c r="P371" i="8"/>
  <c r="J392" i="8"/>
  <c r="P392" i="8"/>
  <c r="P389" i="8"/>
  <c r="P391" i="8"/>
  <c r="O385" i="8"/>
  <c r="O383" i="8"/>
  <c r="P398" i="8"/>
  <c r="J368" i="8"/>
  <c r="J317" i="8"/>
  <c r="P317" i="8"/>
  <c r="P257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280" i="8"/>
  <c r="O279" i="8"/>
  <c r="J401" i="8"/>
  <c r="J400" i="8"/>
  <c r="J399" i="8"/>
  <c r="O400" i="8"/>
  <c r="O399" i="8"/>
  <c r="P20" i="8"/>
  <c r="O30" i="8"/>
  <c r="O40" i="8"/>
  <c r="J40" i="8"/>
  <c r="P40" i="8"/>
  <c r="J32" i="8"/>
  <c r="P35" i="8"/>
  <c r="J249" i="8"/>
  <c r="J246" i="8"/>
  <c r="J245" i="8"/>
  <c r="P249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E400" i="8"/>
  <c r="E399" i="8"/>
  <c r="F321" i="8"/>
  <c r="F312" i="8"/>
  <c r="P223" i="8"/>
  <c r="P176" i="8"/>
  <c r="P300" i="8"/>
  <c r="E267" i="8"/>
  <c r="G156" i="8"/>
  <c r="G154" i="8"/>
  <c r="O283" i="8"/>
  <c r="P165" i="8"/>
  <c r="P62" i="8"/>
  <c r="F253" i="8"/>
  <c r="F251" i="8"/>
  <c r="F246" i="8"/>
  <c r="F245" i="8"/>
  <c r="P232" i="8"/>
  <c r="F51" i="8"/>
  <c r="F42" i="8"/>
  <c r="P368" i="8"/>
  <c r="J279" i="8"/>
  <c r="P279" i="8"/>
  <c r="P280" i="8"/>
  <c r="E136" i="8"/>
  <c r="P136" i="8"/>
  <c r="F103" i="8"/>
  <c r="E103" i="8"/>
  <c r="P103" i="8"/>
  <c r="P267" i="8"/>
  <c r="J269" i="8"/>
  <c r="P269" i="8"/>
  <c r="J404" i="8"/>
  <c r="J403" i="8"/>
  <c r="J402" i="8"/>
  <c r="P278" i="8"/>
  <c r="P244" i="8"/>
  <c r="E229" i="8"/>
  <c r="P229" i="8"/>
  <c r="P60" i="8"/>
  <c r="E58" i="8"/>
  <c r="E45" i="8"/>
  <c r="P242" i="8"/>
  <c r="E174" i="8"/>
  <c r="P175" i="8"/>
  <c r="P174" i="8"/>
  <c r="J30" i="8"/>
  <c r="P30" i="8"/>
  <c r="P58" i="8"/>
  <c r="P45" i="8"/>
  <c r="P270" i="8"/>
  <c r="P237" i="8"/>
  <c r="P234" i="8"/>
  <c r="J217" i="8"/>
  <c r="P217" i="8"/>
  <c r="J218" i="8"/>
  <c r="P218" i="8"/>
  <c r="P144" i="8"/>
  <c r="P147" i="8"/>
  <c r="P100" i="8"/>
  <c r="P125" i="8"/>
  <c r="P128" i="8"/>
  <c r="J97" i="8"/>
  <c r="P97" i="8"/>
  <c r="O97" i="8"/>
  <c r="P74" i="8"/>
  <c r="O274" i="8"/>
  <c r="O266" i="8"/>
  <c r="O265" i="8"/>
  <c r="J154" i="8"/>
  <c r="P157" i="8"/>
  <c r="O105" i="8"/>
  <c r="O96" i="8"/>
  <c r="J105" i="8"/>
  <c r="J96" i="8"/>
  <c r="P106" i="8"/>
  <c r="J49" i="8"/>
  <c r="P49" i="8"/>
  <c r="P52" i="8"/>
  <c r="J22" i="8"/>
  <c r="P22" i="8"/>
  <c r="P23" i="8"/>
  <c r="P84" i="8"/>
  <c r="P396" i="8"/>
  <c r="P385" i="8"/>
  <c r="E385" i="8"/>
  <c r="E383" i="8"/>
  <c r="P383" i="8"/>
  <c r="P380" i="8"/>
  <c r="F425" i="8"/>
  <c r="E17" i="8"/>
  <c r="P373" i="8"/>
  <c r="P374" i="8"/>
  <c r="P366" i="8"/>
  <c r="J316" i="8"/>
  <c r="O316" i="8"/>
  <c r="P365" i="8"/>
  <c r="P357" i="8"/>
  <c r="J355" i="8"/>
  <c r="P355" i="8"/>
  <c r="P353" i="8"/>
  <c r="P350" i="8"/>
  <c r="P352" i="8"/>
  <c r="P332" i="8"/>
  <c r="P334" i="8"/>
  <c r="K318" i="8"/>
  <c r="J318" i="8"/>
  <c r="P318" i="8"/>
  <c r="J328" i="8"/>
  <c r="P328" i="8"/>
  <c r="P326" i="8"/>
  <c r="P323" i="8"/>
  <c r="O321" i="8"/>
  <c r="O312" i="8"/>
  <c r="P346" i="8"/>
  <c r="P316" i="8"/>
  <c r="P344" i="8"/>
  <c r="P324" i="8"/>
  <c r="J343" i="8"/>
  <c r="J356" i="8"/>
  <c r="P356" i="8"/>
  <c r="P361" i="8"/>
  <c r="J266" i="8"/>
  <c r="J265" i="8"/>
  <c r="J274" i="8"/>
  <c r="P274" i="8"/>
  <c r="J253" i="8"/>
  <c r="O253" i="8"/>
  <c r="O251" i="8"/>
  <c r="K51" i="8"/>
  <c r="K42" i="8"/>
  <c r="P53" i="8"/>
  <c r="J315" i="8"/>
  <c r="P343" i="8"/>
  <c r="P315" i="8"/>
  <c r="J251" i="8"/>
  <c r="P408" i="8"/>
  <c r="F403" i="8"/>
  <c r="F402" i="8"/>
  <c r="P404" i="8"/>
  <c r="E266" i="8"/>
  <c r="E265" i="8"/>
  <c r="P275" i="8"/>
  <c r="P266" i="8"/>
  <c r="P265" i="8"/>
  <c r="F266" i="8"/>
  <c r="F265" i="8"/>
  <c r="P258" i="8"/>
  <c r="P57" i="8"/>
  <c r="P51" i="8"/>
  <c r="P42" i="8"/>
  <c r="E246" i="8"/>
  <c r="E245" i="8"/>
  <c r="P245" i="8"/>
  <c r="E156" i="8"/>
  <c r="P156" i="8"/>
  <c r="P154" i="8"/>
  <c r="E107" i="8"/>
  <c r="P107" i="8"/>
  <c r="P88" i="8"/>
  <c r="P92" i="8"/>
  <c r="P95" i="8"/>
  <c r="P50" i="8"/>
  <c r="J91" i="8"/>
  <c r="P91" i="8"/>
  <c r="P48" i="8"/>
  <c r="E51" i="8"/>
  <c r="E42" i="8"/>
  <c r="P90" i="8"/>
  <c r="J51" i="8"/>
  <c r="J42" i="8"/>
  <c r="J48" i="8"/>
  <c r="E416" i="8"/>
  <c r="P401" i="8"/>
  <c r="P400" i="8"/>
  <c r="P399" i="8"/>
  <c r="E154" i="8"/>
  <c r="J321" i="8"/>
  <c r="J312" i="8"/>
  <c r="P354" i="8"/>
  <c r="P382" i="8"/>
  <c r="M409" i="8"/>
  <c r="P379" i="8"/>
  <c r="O14" i="8"/>
  <c r="O409" i="8"/>
  <c r="E14" i="8"/>
  <c r="P32" i="8"/>
  <c r="F14" i="8"/>
  <c r="P105" i="8"/>
  <c r="P96" i="8"/>
  <c r="K416" i="8"/>
  <c r="P416" i="8"/>
  <c r="J416" i="8"/>
  <c r="P414" i="8"/>
  <c r="J414" i="8"/>
  <c r="J415" i="8"/>
  <c r="J417" i="8"/>
  <c r="J419" i="8"/>
  <c r="P405" i="8"/>
  <c r="P403" i="8"/>
  <c r="E403" i="8"/>
  <c r="E402" i="8"/>
  <c r="P17" i="8"/>
  <c r="P14" i="8"/>
  <c r="J14" i="8"/>
  <c r="J409" i="8"/>
  <c r="E253" i="8"/>
  <c r="P402" i="8"/>
  <c r="E251" i="8"/>
  <c r="P253" i="8"/>
  <c r="P251" i="8"/>
  <c r="F409" i="8"/>
  <c r="P342" i="8"/>
  <c r="E321" i="8"/>
  <c r="P321" i="8"/>
  <c r="E312" i="8"/>
  <c r="P312" i="8"/>
  <c r="P409" i="8"/>
  <c r="P415" i="8"/>
  <c r="P417" i="8"/>
  <c r="P419" i="8"/>
  <c r="E409" i="8"/>
  <c r="E422" i="8"/>
  <c r="E415" i="8"/>
  <c r="E417" i="8"/>
  <c r="E419" i="8"/>
  <c r="E423" i="8"/>
</calcChain>
</file>

<file path=xl/sharedStrings.xml><?xml version="1.0" encoding="utf-8"?>
<sst xmlns="http://schemas.openxmlformats.org/spreadsheetml/2006/main" count="1065" uniqueCount="695">
  <si>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</si>
  <si>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</si>
  <si>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</si>
  <si>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</si>
  <si>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</si>
  <si>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</si>
  <si>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</si>
  <si>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</si>
  <si>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</si>
  <si>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</si>
  <si>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</si>
  <si>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</si>
  <si>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</si>
  <si>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</si>
  <si>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</si>
  <si>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</si>
  <si>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</si>
  <si>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</si>
  <si>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</si>
  <si>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</si>
  <si>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</si>
  <si>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</si>
  <si>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</si>
  <si>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</si>
  <si>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</si>
  <si>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</si>
  <si>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</si>
  <si>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</si>
  <si>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</si>
  <si>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</si>
  <si>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</si>
  <si>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</si>
  <si>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</si>
  <si>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</si>
  <si>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</si>
  <si>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</si>
  <si>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</si>
  <si>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</si>
  <si>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</si>
  <si>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</si>
  <si>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</si>
  <si>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</si>
  <si>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</si>
  <si>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</si>
  <si>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</si>
  <si>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</si>
  <si>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</si>
  <si>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</si>
  <si>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</si>
  <si>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</si>
  <si>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</si>
  <si>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</si>
  <si>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</si>
  <si>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</si>
  <si>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</si>
  <si>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</si>
  <si>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</si>
  <si>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</si>
  <si>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</si>
  <si>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</si>
  <si>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</si>
  <si>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</si>
  <si>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</si>
  <si>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</si>
  <si>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</si>
  <si>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</si>
  <si>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</si>
  <si>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</si>
  <si>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</si>
  <si>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</si>
  <si>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</si>
  <si>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</si>
  <si>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</si>
  <si>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</si>
  <si>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</si>
  <si>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</si>
  <si>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</si>
  <si>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</si>
  <si>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</si>
  <si>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</si>
  <si>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</si>
  <si>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</si>
  <si>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</si>
  <si>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</si>
  <si>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</si>
  <si>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</si>
  <si>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</si>
  <si>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</si>
  <si>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</si>
  <si>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</si>
  <si>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</si>
  <si>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</si>
  <si>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</si>
  <si>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</si>
  <si>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</si>
  <si>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</si>
  <si>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</si>
  <si>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</si>
  <si>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</si>
  <si>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</si>
  <si>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</si>
  <si>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</si>
  <si>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</si>
  <si>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</si>
  <si>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</si>
  <si>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</si>
  <si>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</si>
  <si>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</si>
  <si>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</si>
  <si>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</si>
  <si>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</si>
  <si>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</si>
  <si>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</si>
  <si>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</si>
  <si>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</si>
  <si>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</si>
  <si>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</si>
  <si>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</si>
  <si>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</si>
  <si>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</si>
  <si>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</si>
  <si>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</si>
  <si>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</si>
  <si>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</si>
  <si>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</si>
  <si>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</si>
  <si>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</si>
  <si>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</si>
  <si>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апарат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</si>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</sst>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0" xfId="0" applyFont="1"/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_2022_23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8">
          <cell r="C108">
            <v>1301015035</v>
          </cell>
          <cell r="D108">
            <v>1241465335</v>
          </cell>
          <cell r="E108">
            <v>59549700</v>
          </cell>
          <cell r="F108">
            <v>8500000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-52039600</v>
          </cell>
          <cell r="D46">
            <v>-124874863</v>
          </cell>
          <cell r="E46">
            <v>72835263</v>
          </cell>
          <cell r="F46">
            <v>72835263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6"/>
  <sheetViews>
    <sheetView tabSelected="1" topLeftCell="A9" zoomScaleNormal="100" zoomScaleSheetLayoutView="100" workbookViewId="0">
      <pane xSplit="4" ySplit="5" topLeftCell="E312" activePane="bottomRight" state="frozen"/>
      <selection activeCell="A9" sqref="A9"/>
      <selection pane="topRight" activeCell="E9" sqref="E9"/>
      <selection pane="bottomLeft" activeCell="A14" sqref="A14"/>
      <selection pane="bottomRight" activeCell="F342" sqref="F342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1" t="s">
        <v>268</v>
      </c>
      <c r="O2" s="111"/>
      <c r="P2" s="111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1"/>
      <c r="O4" s="111"/>
      <c r="P4" s="111"/>
    </row>
    <row r="5" spans="1:18" ht="17.25" x14ac:dyDescent="0.25">
      <c r="C5" s="112" t="s">
        <v>129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17.25" x14ac:dyDescent="0.25">
      <c r="A6" s="54" t="s">
        <v>64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07" t="s">
        <v>5</v>
      </c>
      <c r="B9" s="108" t="s">
        <v>6</v>
      </c>
      <c r="C9" s="109" t="s">
        <v>7</v>
      </c>
      <c r="D9" s="110" t="s">
        <v>8</v>
      </c>
      <c r="E9" s="114" t="s">
        <v>281</v>
      </c>
      <c r="F9" s="114"/>
      <c r="G9" s="114"/>
      <c r="H9" s="114"/>
      <c r="I9" s="114"/>
      <c r="J9" s="114" t="s">
        <v>282</v>
      </c>
      <c r="K9" s="114"/>
      <c r="L9" s="114"/>
      <c r="M9" s="114"/>
      <c r="N9" s="114"/>
      <c r="O9" s="114"/>
      <c r="P9" s="114" t="s">
        <v>283</v>
      </c>
    </row>
    <row r="10" spans="1:18" ht="22.5" customHeight="1" x14ac:dyDescent="0.2">
      <c r="A10" s="107"/>
      <c r="B10" s="108"/>
      <c r="C10" s="109"/>
      <c r="D10" s="110"/>
      <c r="E10" s="113" t="s">
        <v>9</v>
      </c>
      <c r="F10" s="118" t="s">
        <v>284</v>
      </c>
      <c r="G10" s="113" t="s">
        <v>285</v>
      </c>
      <c r="H10" s="113"/>
      <c r="I10" s="113" t="s">
        <v>286</v>
      </c>
      <c r="J10" s="115" t="s">
        <v>10</v>
      </c>
      <c r="K10" s="115" t="s">
        <v>11</v>
      </c>
      <c r="L10" s="113" t="s">
        <v>284</v>
      </c>
      <c r="M10" s="113" t="s">
        <v>285</v>
      </c>
      <c r="N10" s="113"/>
      <c r="O10" s="113" t="s">
        <v>286</v>
      </c>
      <c r="P10" s="114"/>
    </row>
    <row r="11" spans="1:18" ht="21.75" customHeight="1" x14ac:dyDescent="0.2">
      <c r="A11" s="107"/>
      <c r="B11" s="108"/>
      <c r="C11" s="109"/>
      <c r="D11" s="110"/>
      <c r="E11" s="113"/>
      <c r="F11" s="118"/>
      <c r="G11" s="113" t="s">
        <v>287</v>
      </c>
      <c r="H11" s="113" t="s">
        <v>288</v>
      </c>
      <c r="I11" s="113"/>
      <c r="J11" s="115"/>
      <c r="K11" s="115"/>
      <c r="L11" s="113"/>
      <c r="M11" s="113" t="s">
        <v>287</v>
      </c>
      <c r="N11" s="113" t="s">
        <v>288</v>
      </c>
      <c r="O11" s="113"/>
      <c r="P11" s="114"/>
    </row>
    <row r="12" spans="1:18" ht="31.5" customHeight="1" x14ac:dyDescent="0.2">
      <c r="A12" s="107"/>
      <c r="B12" s="108"/>
      <c r="C12" s="109"/>
      <c r="D12" s="110"/>
      <c r="E12" s="113"/>
      <c r="F12" s="118"/>
      <c r="G12" s="113"/>
      <c r="H12" s="113"/>
      <c r="I12" s="113"/>
      <c r="J12" s="115"/>
      <c r="K12" s="115"/>
      <c r="L12" s="113"/>
      <c r="M12" s="113"/>
      <c r="N12" s="113"/>
      <c r="O12" s="113"/>
      <c r="P12" s="114"/>
    </row>
    <row r="13" spans="1:18" s="61" customFormat="1" x14ac:dyDescent="0.2">
      <c r="A13" s="59">
        <v>1</v>
      </c>
      <c r="B13" s="59" t="s">
        <v>248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339</v>
      </c>
      <c r="B14" s="6"/>
      <c r="C14" s="7"/>
      <c r="D14" s="31" t="s">
        <v>289</v>
      </c>
      <c r="E14" s="13">
        <f>E16</f>
        <v>73481152</v>
      </c>
      <c r="F14" s="13">
        <f t="shared" ref="F14:P14" si="0">F16</f>
        <v>73481152</v>
      </c>
      <c r="G14" s="13">
        <f t="shared" si="0"/>
        <v>43407400</v>
      </c>
      <c r="H14" s="13">
        <f t="shared" si="0"/>
        <v>3270600</v>
      </c>
      <c r="I14" s="13">
        <f t="shared" si="0"/>
        <v>0</v>
      </c>
      <c r="J14" s="13">
        <f>J16</f>
        <v>15844000</v>
      </c>
      <c r="K14" s="13">
        <f>K16</f>
        <v>14134000</v>
      </c>
      <c r="L14" s="13">
        <f t="shared" si="0"/>
        <v>1460000</v>
      </c>
      <c r="M14" s="13">
        <f t="shared" si="0"/>
        <v>0</v>
      </c>
      <c r="N14" s="13">
        <f t="shared" si="0"/>
        <v>0</v>
      </c>
      <c r="O14" s="13">
        <f t="shared" si="0"/>
        <v>14384000</v>
      </c>
      <c r="P14" s="13">
        <f t="shared" si="0"/>
        <v>89325152</v>
      </c>
      <c r="R14" s="34"/>
    </row>
    <row r="15" spans="1:18" s="1" customFormat="1" ht="13.5" hidden="1" x14ac:dyDescent="0.2">
      <c r="A15" s="63"/>
      <c r="B15" s="64"/>
      <c r="C15" s="65"/>
      <c r="D15" s="15" t="s">
        <v>163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346</v>
      </c>
      <c r="B16" s="6"/>
      <c r="C16" s="7"/>
      <c r="D16" s="15" t="s">
        <v>289</v>
      </c>
      <c r="E16" s="68">
        <f>E17+E20+E41+E22+E25+E29+E27+E34+E35+E39+E30+E33+E18+E32+E36</f>
        <v>73481152</v>
      </c>
      <c r="F16" s="68">
        <f>F17+F20+F41+F22+F25+F29+F27+F34+F35+F39+F30+F33+F18+F32+F36</f>
        <v>73481152</v>
      </c>
      <c r="G16" s="68">
        <f>G17+G20+G41+G22+G25+G29+G27+G34+G35+G39+G30+G33+G18+G32+G36</f>
        <v>43407400</v>
      </c>
      <c r="H16" s="68">
        <f>H17+H20+H41+H22+H25+H29+H27+H34+H35+H39+H30+H33+H18+H32+H36</f>
        <v>3270600</v>
      </c>
      <c r="I16" s="68">
        <f>I17+I20+I41+I22+I25+I29+I27+I34+I35+I39+I30+I33+I18+I32+I36</f>
        <v>0</v>
      </c>
      <c r="J16" s="68">
        <f>J17+J32+J34+J31+J37+J39+J41+J23+J25+J36</f>
        <v>15844000</v>
      </c>
      <c r="K16" s="68">
        <f>K17+K20+K41+K22+K25+K29+K27+K34+K35+K39+K30+K33+K18+K37+K32+K23+K36</f>
        <v>14134000</v>
      </c>
      <c r="L16" s="68">
        <f>L17+L20+L41+L22+L25+L29+L27+L34+L35+L39+L30+L33+L18+L37+L31</f>
        <v>1460000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14384000</v>
      </c>
      <c r="P16" s="68">
        <f>P17+P25+P27+P29+P31+P32+P34+P37+P39+P41+P23+P36</f>
        <v>89325152</v>
      </c>
    </row>
    <row r="17" spans="1:17" ht="41.25" customHeight="1" x14ac:dyDescent="0.2">
      <c r="A17" s="41" t="s">
        <v>347</v>
      </c>
      <c r="B17" s="4" t="s">
        <v>344</v>
      </c>
      <c r="C17" s="4" t="s">
        <v>290</v>
      </c>
      <c r="D17" s="23" t="s">
        <v>345</v>
      </c>
      <c r="E17" s="11">
        <f t="shared" ref="E17:E24" si="1">F17+I17</f>
        <v>60556520</v>
      </c>
      <c r="F17" s="11">
        <f>59172500+354820-400000-6800+396000+800000+240000</f>
        <v>60556520</v>
      </c>
      <c r="G17" s="11">
        <v>43407400</v>
      </c>
      <c r="H17" s="11">
        <f>2234600-400000+396000+800000+240000</f>
        <v>3270600</v>
      </c>
      <c r="I17" s="11"/>
      <c r="J17" s="11">
        <f>L17+O17</f>
        <v>3460000</v>
      </c>
      <c r="K17" s="11">
        <f>2510000+1500000-550000</f>
        <v>3460000</v>
      </c>
      <c r="L17" s="11"/>
      <c r="M17" s="11"/>
      <c r="N17" s="11"/>
      <c r="O17" s="11">
        <f>K17</f>
        <v>3460000</v>
      </c>
      <c r="P17" s="13">
        <f t="shared" ref="P17:P41" si="2">E17+J17</f>
        <v>64016520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362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598</v>
      </c>
      <c r="B20" s="4" t="s">
        <v>574</v>
      </c>
      <c r="C20" s="4"/>
      <c r="D20" s="5" t="s">
        <v>194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599</v>
      </c>
      <c r="B21" s="3" t="s">
        <v>576</v>
      </c>
      <c r="C21" s="3" t="s">
        <v>292</v>
      </c>
      <c r="D21" s="70" t="s">
        <v>595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197</v>
      </c>
      <c r="B22" s="4" t="s">
        <v>201</v>
      </c>
      <c r="C22" s="4"/>
      <c r="D22" s="72" t="s">
        <v>196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690</v>
      </c>
      <c r="B23" s="4" t="s">
        <v>126</v>
      </c>
      <c r="C23" s="4" t="s">
        <v>155</v>
      </c>
      <c r="D23" s="106" t="s">
        <v>127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349</v>
      </c>
      <c r="B25" s="20" t="s">
        <v>348</v>
      </c>
      <c r="C25" s="20" t="s">
        <v>182</v>
      </c>
      <c r="D25" s="5" t="s">
        <v>250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643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352</v>
      </c>
      <c r="B27" s="4" t="s">
        <v>351</v>
      </c>
      <c r="C27" s="4" t="s">
        <v>297</v>
      </c>
      <c r="D27" s="47" t="s">
        <v>252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649</v>
      </c>
      <c r="B28" s="4" t="s">
        <v>350</v>
      </c>
      <c r="C28" s="8" t="s">
        <v>296</v>
      </c>
      <c r="D28" s="21" t="s">
        <v>650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549</v>
      </c>
      <c r="B29" s="4" t="s">
        <v>548</v>
      </c>
      <c r="C29" s="4" t="s">
        <v>296</v>
      </c>
      <c r="D29" s="21" t="s">
        <v>550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356</v>
      </c>
      <c r="B30" s="4" t="s">
        <v>355</v>
      </c>
      <c r="C30" s="4"/>
      <c r="D30" s="21" t="s">
        <v>357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559</v>
      </c>
      <c r="B31" s="4" t="s">
        <v>558</v>
      </c>
      <c r="C31" s="4" t="s">
        <v>296</v>
      </c>
      <c r="D31" s="21" t="s">
        <v>591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358</v>
      </c>
      <c r="B32" s="4" t="s">
        <v>359</v>
      </c>
      <c r="C32" s="4" t="s">
        <v>296</v>
      </c>
      <c r="D32" s="21" t="s">
        <v>360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255</v>
      </c>
      <c r="B33" s="20" t="s">
        <v>202</v>
      </c>
      <c r="C33" s="20" t="s">
        <v>303</v>
      </c>
      <c r="D33" s="14" t="s">
        <v>304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354</v>
      </c>
      <c r="B34" s="4" t="s">
        <v>353</v>
      </c>
      <c r="C34" s="4" t="s">
        <v>299</v>
      </c>
      <c r="D34" s="14" t="s">
        <v>560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251</v>
      </c>
      <c r="B35" s="4" t="s">
        <v>237</v>
      </c>
      <c r="C35" s="4" t="s">
        <v>300</v>
      </c>
      <c r="D35" s="14" t="s">
        <v>301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691</v>
      </c>
      <c r="B36" s="4" t="s">
        <v>692</v>
      </c>
      <c r="C36" s="4" t="s">
        <v>693</v>
      </c>
      <c r="D36" s="14" t="s">
        <v>694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631</v>
      </c>
      <c r="B37" s="4" t="s">
        <v>632</v>
      </c>
      <c r="C37" s="4" t="s">
        <v>298</v>
      </c>
      <c r="D37" s="14" t="s">
        <v>302</v>
      </c>
      <c r="E37" s="11"/>
      <c r="F37" s="25"/>
      <c r="G37" s="25"/>
      <c r="H37" s="25"/>
      <c r="I37" s="25"/>
      <c r="J37" s="11">
        <f t="shared" si="3"/>
        <v>250000</v>
      </c>
      <c r="K37" s="25"/>
      <c r="L37" s="12"/>
      <c r="M37" s="12"/>
      <c r="N37" s="12"/>
      <c r="O37" s="71">
        <v>250000</v>
      </c>
      <c r="P37" s="13">
        <f t="shared" si="2"/>
        <v>250000</v>
      </c>
    </row>
    <row r="38" spans="1:18" s="1" customFormat="1" hidden="1" x14ac:dyDescent="0.2">
      <c r="A38" s="36"/>
      <c r="B38" s="3"/>
      <c r="C38" s="3"/>
      <c r="D38" s="15" t="s">
        <v>143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633</v>
      </c>
      <c r="B39" s="4" t="s">
        <v>634</v>
      </c>
      <c r="C39" s="4" t="s">
        <v>525</v>
      </c>
      <c r="D39" s="72" t="s">
        <v>635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302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75</v>
      </c>
      <c r="B41" s="4" t="s">
        <v>74</v>
      </c>
      <c r="C41" s="4" t="s">
        <v>294</v>
      </c>
      <c r="D41" s="75" t="s">
        <v>76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340</v>
      </c>
      <c r="B42" s="6"/>
      <c r="C42" s="7"/>
      <c r="D42" s="31" t="s">
        <v>305</v>
      </c>
      <c r="E42" s="25">
        <f>E51</f>
        <v>660587172</v>
      </c>
      <c r="F42" s="25">
        <f t="shared" ref="F42:P42" si="6">F51</f>
        <v>660587172</v>
      </c>
      <c r="G42" s="25">
        <f t="shared" si="6"/>
        <v>441725889</v>
      </c>
      <c r="H42" s="25">
        <f t="shared" si="6"/>
        <v>96600331</v>
      </c>
      <c r="I42" s="25"/>
      <c r="J42" s="25">
        <f t="shared" si="6"/>
        <v>28891270</v>
      </c>
      <c r="K42" s="25">
        <f>K51</f>
        <v>9492263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9582863</v>
      </c>
      <c r="P42" s="25">
        <f t="shared" si="6"/>
        <v>689478442</v>
      </c>
      <c r="Q42" s="39"/>
      <c r="R42" s="34"/>
    </row>
    <row r="43" spans="1:18" s="1" customFormat="1" x14ac:dyDescent="0.2">
      <c r="A43" s="36"/>
      <c r="B43" s="18"/>
      <c r="C43" s="3"/>
      <c r="D43" s="35" t="s">
        <v>256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629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103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639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172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660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146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361</v>
      </c>
      <c r="B51" s="8"/>
      <c r="C51" s="7"/>
      <c r="D51" s="14" t="s">
        <v>305</v>
      </c>
      <c r="E51" s="25">
        <f>E52+E53+E57+E60+E69+E70+E75+E77+E81+E84+E86+E87+E92+E74+E94+E90+E88</f>
        <v>660587172</v>
      </c>
      <c r="F51" s="25">
        <f>F52+F53+F57+F60+F69+F70+F75+F77+F81+F84+F86+F87+F92+F74+F94+F90+F88</f>
        <v>660587172</v>
      </c>
      <c r="G51" s="25">
        <f>G52+G53+G57+G60+G69+G70+G75+G77+G81+G84+G86+G87+G92+G74+G94+G90+G88</f>
        <v>441725889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28891270</v>
      </c>
      <c r="K51" s="25">
        <f>K52+K53+K57+K60+K69+K70+K75+K77+K81+K84+K86+K87+K92+K74+K94+K89+K90+K88</f>
        <v>9492263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9582863</v>
      </c>
      <c r="P51" s="25">
        <f>P52+P53+P57+P60+P69+P70+P75+P77+P81+P84+P86+P87+P92+P74+P94+P89+P90+P88</f>
        <v>689478442</v>
      </c>
    </row>
    <row r="52" spans="1:18" ht="25.5" x14ac:dyDescent="0.2">
      <c r="A52" s="41" t="s">
        <v>363</v>
      </c>
      <c r="B52" s="4" t="s">
        <v>362</v>
      </c>
      <c r="C52" s="4" t="s">
        <v>290</v>
      </c>
      <c r="D52" s="14" t="s">
        <v>73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365</v>
      </c>
      <c r="B53" s="20" t="s">
        <v>233</v>
      </c>
      <c r="C53" s="20" t="s">
        <v>306</v>
      </c>
      <c r="D53" s="5" t="s">
        <v>364</v>
      </c>
      <c r="E53" s="11">
        <f>F53</f>
        <v>227458700</v>
      </c>
      <c r="F53" s="12">
        <f>214324700+11710000+1324000+100000</f>
        <v>227458700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245204970</v>
      </c>
      <c r="Q53" s="97"/>
      <c r="R53" s="98"/>
    </row>
    <row r="54" spans="1:18" ht="38.25" hidden="1" x14ac:dyDescent="0.2">
      <c r="A54" s="41"/>
      <c r="B54" s="20"/>
      <c r="C54" s="20"/>
      <c r="D54" s="35" t="s">
        <v>660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643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89</v>
      </c>
      <c r="B57" s="20" t="s">
        <v>79</v>
      </c>
      <c r="C57" s="20" t="s">
        <v>307</v>
      </c>
      <c r="D57" s="21" t="s">
        <v>91</v>
      </c>
      <c r="E57" s="11">
        <f>F57</f>
        <v>103176231</v>
      </c>
      <c r="F57" s="12">
        <f>84434900+269800+17490000+881531+100000</f>
        <v>103176231</v>
      </c>
      <c r="G57" s="12">
        <v>38538400</v>
      </c>
      <c r="H57" s="12">
        <f>30031100+17490000+881531</f>
        <v>48402631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108056308</v>
      </c>
    </row>
    <row r="58" spans="1:18" ht="38.25" hidden="1" x14ac:dyDescent="0.2">
      <c r="A58" s="41"/>
      <c r="B58" s="20"/>
      <c r="C58" s="20"/>
      <c r="D58" s="35" t="s">
        <v>103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643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90</v>
      </c>
      <c r="B60" s="20" t="s">
        <v>80</v>
      </c>
      <c r="C60" s="20" t="s">
        <v>307</v>
      </c>
      <c r="D60" s="21" t="s">
        <v>91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332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292</v>
      </c>
      <c r="C62" s="20" t="s">
        <v>307</v>
      </c>
      <c r="D62" s="5" t="s">
        <v>257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629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639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256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92</v>
      </c>
      <c r="B69" s="20" t="s">
        <v>81</v>
      </c>
      <c r="C69" s="20" t="s">
        <v>278</v>
      </c>
      <c r="D69" s="23" t="s">
        <v>51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93</v>
      </c>
      <c r="B70" s="20" t="s">
        <v>82</v>
      </c>
      <c r="C70" s="20" t="s">
        <v>278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629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660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256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131</v>
      </c>
      <c r="B74" s="22" t="s">
        <v>132</v>
      </c>
      <c r="C74" s="22" t="s">
        <v>307</v>
      </c>
      <c r="D74" s="96" t="s">
        <v>88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94</v>
      </c>
      <c r="B75" s="20" t="s">
        <v>199</v>
      </c>
      <c r="C75" s="20" t="s">
        <v>308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643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368</v>
      </c>
      <c r="B77" s="20" t="s">
        <v>367</v>
      </c>
      <c r="C77" s="20" t="s">
        <v>309</v>
      </c>
      <c r="D77" s="5" t="s">
        <v>95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203</v>
      </c>
      <c r="C78" s="20" t="s">
        <v>309</v>
      </c>
      <c r="D78" s="21" t="s">
        <v>258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204</v>
      </c>
      <c r="C79" s="20" t="s">
        <v>309</v>
      </c>
      <c r="D79" s="21" t="s">
        <v>259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368</v>
      </c>
      <c r="B80" s="20" t="s">
        <v>367</v>
      </c>
      <c r="C80" s="20"/>
      <c r="D80" s="42" t="s">
        <v>366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96</v>
      </c>
      <c r="B81" s="20" t="s">
        <v>83</v>
      </c>
      <c r="C81" s="20" t="s">
        <v>309</v>
      </c>
      <c r="D81" s="42" t="s">
        <v>561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12917800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660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97</v>
      </c>
      <c r="B84" s="20" t="s">
        <v>84</v>
      </c>
      <c r="C84" s="20" t="s">
        <v>309</v>
      </c>
      <c r="D84" s="42" t="s">
        <v>562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99</v>
      </c>
      <c r="B86" s="20" t="s">
        <v>85</v>
      </c>
      <c r="C86" s="20" t="s">
        <v>309</v>
      </c>
      <c r="D86" s="14" t="s">
        <v>98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100</v>
      </c>
      <c r="B87" s="22" t="s">
        <v>86</v>
      </c>
      <c r="C87" s="22" t="s">
        <v>309</v>
      </c>
      <c r="D87" s="14" t="s">
        <v>101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hidden="1" x14ac:dyDescent="0.2">
      <c r="A88" s="36" t="s">
        <v>160</v>
      </c>
      <c r="B88" s="22" t="s">
        <v>161</v>
      </c>
      <c r="C88" s="22" t="s">
        <v>309</v>
      </c>
      <c r="D88" s="14" t="s">
        <v>162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165</v>
      </c>
      <c r="B89" s="20" t="s">
        <v>166</v>
      </c>
      <c r="C89" s="20" t="s">
        <v>309</v>
      </c>
      <c r="D89" s="5" t="s">
        <v>167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168</v>
      </c>
      <c r="B90" s="20" t="s">
        <v>169</v>
      </c>
      <c r="C90" s="20" t="s">
        <v>309</v>
      </c>
      <c r="D90" s="5" t="s">
        <v>170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171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104</v>
      </c>
      <c r="B92" s="20" t="s">
        <v>204</v>
      </c>
      <c r="C92" s="4" t="s">
        <v>309</v>
      </c>
      <c r="D92" s="82" t="s">
        <v>105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660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144</v>
      </c>
      <c r="B94" s="20" t="s">
        <v>145</v>
      </c>
      <c r="C94" s="4" t="s">
        <v>309</v>
      </c>
      <c r="D94" s="77" t="s">
        <v>147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146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341</v>
      </c>
      <c r="B96" s="6"/>
      <c r="C96" s="7"/>
      <c r="D96" s="31" t="s">
        <v>263</v>
      </c>
      <c r="E96" s="25">
        <f>E105</f>
        <v>30543400</v>
      </c>
      <c r="F96" s="25">
        <f t="shared" ref="F96:O96" si="14">F105</f>
        <v>30543400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30679593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265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630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640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643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107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670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369</v>
      </c>
      <c r="B105" s="18"/>
      <c r="C105" s="3"/>
      <c r="D105" s="15" t="s">
        <v>263</v>
      </c>
      <c r="E105" s="17">
        <f>E106+E107+E113+E119+E123+E131+E140+E146+E141+E142+E124+E133+E149</f>
        <v>30543400</v>
      </c>
      <c r="F105" s="17">
        <f>F106+F107+F113+F119+F123+F131+F140+F146+F141+F142+F124+F133+F149</f>
        <v>30543400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30679593</v>
      </c>
    </row>
    <row r="106" spans="1:16" ht="25.5" x14ac:dyDescent="0.2">
      <c r="A106" s="41" t="s">
        <v>370</v>
      </c>
      <c r="B106" s="4" t="s">
        <v>362</v>
      </c>
      <c r="C106" s="4" t="s">
        <v>290</v>
      </c>
      <c r="D106" s="14" t="s">
        <v>73</v>
      </c>
      <c r="E106" s="11">
        <f t="shared" ref="E106:E143" si="15">F106+I106</f>
        <v>3201000</v>
      </c>
      <c r="F106" s="12">
        <f>2727800+443200+30000</f>
        <v>3201000</v>
      </c>
      <c r="G106" s="12">
        <v>2104700</v>
      </c>
      <c r="H106" s="12">
        <f>34000+443200+30000</f>
        <v>507200</v>
      </c>
      <c r="I106" s="12"/>
      <c r="J106" s="11">
        <f t="shared" ref="J106:J152" si="16">L106+O106</f>
        <v>69000</v>
      </c>
      <c r="K106" s="12">
        <v>69000</v>
      </c>
      <c r="L106" s="12"/>
      <c r="M106" s="12"/>
      <c r="N106" s="12"/>
      <c r="O106" s="12">
        <f>K106</f>
        <v>69000</v>
      </c>
      <c r="P106" s="13">
        <f t="shared" si="11"/>
        <v>3270000</v>
      </c>
    </row>
    <row r="107" spans="1:16" x14ac:dyDescent="0.2">
      <c r="A107" s="41" t="s">
        <v>371</v>
      </c>
      <c r="B107" s="4" t="s">
        <v>207</v>
      </c>
      <c r="C107" s="4" t="s">
        <v>180</v>
      </c>
      <c r="D107" s="5" t="s">
        <v>264</v>
      </c>
      <c r="E107" s="11">
        <f t="shared" si="15"/>
        <v>12330000</v>
      </c>
      <c r="F107" s="12">
        <f>12540000-1000000-310000+1100000</f>
        <v>12330000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12330000</v>
      </c>
    </row>
    <row r="108" spans="1:16" hidden="1" x14ac:dyDescent="0.2">
      <c r="A108" s="41"/>
      <c r="B108" s="4"/>
      <c r="C108" s="4"/>
      <c r="D108" s="35" t="s">
        <v>265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643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641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373</v>
      </c>
      <c r="B113" s="4" t="s">
        <v>372</v>
      </c>
      <c r="C113" s="4" t="s">
        <v>181</v>
      </c>
      <c r="D113" s="76" t="s">
        <v>266</v>
      </c>
      <c r="E113" s="11">
        <f t="shared" si="15"/>
        <v>3055000</v>
      </c>
      <c r="F113" s="12">
        <f>2055000+1000000</f>
        <v>3055000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265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376</v>
      </c>
      <c r="B115" s="4" t="s">
        <v>375</v>
      </c>
      <c r="C115" s="4" t="s">
        <v>183</v>
      </c>
      <c r="D115" s="5" t="s">
        <v>374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265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630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641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183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265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630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641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381</v>
      </c>
      <c r="B123" s="4" t="s">
        <v>380</v>
      </c>
      <c r="C123" s="4"/>
      <c r="D123" s="14" t="s">
        <v>592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384</v>
      </c>
      <c r="B124" s="4" t="s">
        <v>383</v>
      </c>
      <c r="C124" s="4" t="s">
        <v>618</v>
      </c>
      <c r="D124" s="14" t="s">
        <v>382</v>
      </c>
      <c r="E124" s="11">
        <f t="shared" si="18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2383000</v>
      </c>
    </row>
    <row r="125" spans="1:16" hidden="1" x14ac:dyDescent="0.2">
      <c r="A125" s="41"/>
      <c r="B125" s="4"/>
      <c r="C125" s="4"/>
      <c r="D125" s="35" t="s">
        <v>643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331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265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630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379</v>
      </c>
      <c r="B129" s="4" t="s">
        <v>378</v>
      </c>
      <c r="C129" s="4" t="s">
        <v>184</v>
      </c>
      <c r="D129" s="14" t="s">
        <v>377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265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386</v>
      </c>
      <c r="B131" s="4" t="s">
        <v>208</v>
      </c>
      <c r="C131" s="4"/>
      <c r="D131" s="77" t="s">
        <v>385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389</v>
      </c>
      <c r="B132" s="3" t="s">
        <v>388</v>
      </c>
      <c r="C132" s="3" t="s">
        <v>185</v>
      </c>
      <c r="D132" s="19" t="s">
        <v>387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392</v>
      </c>
      <c r="B133" s="4" t="s">
        <v>391</v>
      </c>
      <c r="C133" s="4" t="s">
        <v>185</v>
      </c>
      <c r="D133" s="21" t="s">
        <v>390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107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395</v>
      </c>
      <c r="B137" s="3" t="s">
        <v>394</v>
      </c>
      <c r="C137" s="3" t="s">
        <v>185</v>
      </c>
      <c r="D137" s="19" t="s">
        <v>393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265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642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398</v>
      </c>
      <c r="B140" s="4" t="s">
        <v>397</v>
      </c>
      <c r="C140" s="4"/>
      <c r="D140" s="14" t="s">
        <v>396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565</v>
      </c>
      <c r="B141" s="4" t="s">
        <v>563</v>
      </c>
      <c r="C141" s="4" t="s">
        <v>185</v>
      </c>
      <c r="D141" s="14" t="s">
        <v>567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566</v>
      </c>
      <c r="B142" s="4" t="s">
        <v>564</v>
      </c>
      <c r="C142" s="4" t="s">
        <v>185</v>
      </c>
      <c r="D142" s="14" t="s">
        <v>568</v>
      </c>
      <c r="E142" s="11">
        <f t="shared" si="15"/>
        <v>6300400</v>
      </c>
      <c r="F142" s="12">
        <f>5186400-336000+1450000</f>
        <v>6300400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6300400</v>
      </c>
    </row>
    <row r="143" spans="1:16" hidden="1" x14ac:dyDescent="0.2">
      <c r="A143" s="41"/>
      <c r="B143" s="4"/>
      <c r="C143" s="4"/>
      <c r="D143" s="35" t="s">
        <v>265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643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630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664</v>
      </c>
      <c r="B146" s="4" t="s">
        <v>652</v>
      </c>
      <c r="C146" s="4"/>
      <c r="D146" s="23" t="s">
        <v>667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675</v>
      </c>
      <c r="B147" s="3" t="s">
        <v>676</v>
      </c>
      <c r="C147" s="3" t="s">
        <v>296</v>
      </c>
      <c r="D147" s="78" t="s">
        <v>677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678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58</v>
      </c>
      <c r="B149" s="4" t="s">
        <v>580</v>
      </c>
      <c r="C149" s="4" t="s">
        <v>291</v>
      </c>
      <c r="D149" s="72" t="s">
        <v>579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643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665</v>
      </c>
      <c r="B151" s="3" t="s">
        <v>666</v>
      </c>
      <c r="C151" s="3" t="s">
        <v>296</v>
      </c>
      <c r="D151" s="77" t="s">
        <v>669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670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342</v>
      </c>
      <c r="B154" s="6"/>
      <c r="C154" s="7"/>
      <c r="D154" s="31" t="s">
        <v>186</v>
      </c>
      <c r="E154" s="25">
        <f>E156</f>
        <v>45311300</v>
      </c>
      <c r="F154" s="25">
        <f t="shared" ref="F154:P154" si="21">F156</f>
        <v>45311300</v>
      </c>
      <c r="G154" s="25">
        <f t="shared" si="21"/>
        <v>19895200</v>
      </c>
      <c r="H154" s="25">
        <f t="shared" si="21"/>
        <v>931500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45851300</v>
      </c>
      <c r="R154" s="34"/>
    </row>
    <row r="155" spans="1:18" s="1" customFormat="1" ht="38.25" hidden="1" x14ac:dyDescent="0.2">
      <c r="A155" s="36"/>
      <c r="B155" s="18"/>
      <c r="C155" s="3"/>
      <c r="D155" s="15" t="s">
        <v>174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399</v>
      </c>
      <c r="B156" s="8"/>
      <c r="C156" s="7"/>
      <c r="D156" s="15" t="s">
        <v>186</v>
      </c>
      <c r="E156" s="13">
        <f t="shared" ref="E156:E199" si="24">F156+I156</f>
        <v>45311300</v>
      </c>
      <c r="F156" s="25">
        <f>F157+F159+F161+F166+F168+F175+F176+F177+F178+F180+F182+F184+F186+F188+F190+F192+F196+F200+F202+F204+F206+F208+F210+F213+F215+F216+F218+F219+F221+F225+F227+F230+F231+F238+F242+F244+F240+F236+F223</f>
        <v>45311300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931500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45851300</v>
      </c>
    </row>
    <row r="157" spans="1:18" ht="25.5" x14ac:dyDescent="0.2">
      <c r="A157" s="41" t="s">
        <v>400</v>
      </c>
      <c r="B157" s="4" t="s">
        <v>362</v>
      </c>
      <c r="C157" s="4" t="s">
        <v>290</v>
      </c>
      <c r="D157" s="14" t="s">
        <v>73</v>
      </c>
      <c r="E157" s="11">
        <f t="shared" si="24"/>
        <v>25853700</v>
      </c>
      <c r="F157" s="12">
        <f>25741700+50000+62000</f>
        <v>25853700</v>
      </c>
      <c r="G157" s="12">
        <v>19895200</v>
      </c>
      <c r="H157" s="12">
        <f>819500+50000+62000</f>
        <v>931500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26093700</v>
      </c>
    </row>
    <row r="158" spans="1:18" ht="38.25" hidden="1" x14ac:dyDescent="0.2">
      <c r="A158" s="41" t="s">
        <v>401</v>
      </c>
      <c r="B158" s="8" t="s">
        <v>320</v>
      </c>
      <c r="C158" s="20"/>
      <c r="D158" s="5" t="s">
        <v>267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403</v>
      </c>
      <c r="B159" s="18" t="s">
        <v>209</v>
      </c>
      <c r="C159" s="79" t="s">
        <v>292</v>
      </c>
      <c r="D159" s="80" t="s">
        <v>402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588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404</v>
      </c>
      <c r="B161" s="18" t="s">
        <v>210</v>
      </c>
      <c r="C161" s="79" t="s">
        <v>230</v>
      </c>
      <c r="D161" s="19" t="s">
        <v>269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588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231</v>
      </c>
      <c r="C163" s="20" t="s">
        <v>230</v>
      </c>
      <c r="D163" s="5" t="s">
        <v>232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187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405</v>
      </c>
      <c r="B165" s="8" t="s">
        <v>321</v>
      </c>
      <c r="C165" s="20"/>
      <c r="D165" s="5" t="s">
        <v>270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407</v>
      </c>
      <c r="B166" s="18" t="s">
        <v>211</v>
      </c>
      <c r="C166" s="79" t="s">
        <v>292</v>
      </c>
      <c r="D166" s="15" t="s">
        <v>406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589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408</v>
      </c>
      <c r="B168" s="18" t="s">
        <v>212</v>
      </c>
      <c r="C168" s="79" t="s">
        <v>230</v>
      </c>
      <c r="D168" s="19" t="s">
        <v>271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589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410</v>
      </c>
      <c r="B170" s="18" t="s">
        <v>213</v>
      </c>
      <c r="C170" s="79" t="s">
        <v>230</v>
      </c>
      <c r="D170" s="19" t="s">
        <v>409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200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234</v>
      </c>
      <c r="C172" s="4" t="s">
        <v>230</v>
      </c>
      <c r="D172" s="23" t="s">
        <v>272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200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412</v>
      </c>
      <c r="B174" s="8" t="s">
        <v>326</v>
      </c>
      <c r="C174" s="4"/>
      <c r="D174" s="5" t="s">
        <v>411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414</v>
      </c>
      <c r="B175" s="8" t="s">
        <v>327</v>
      </c>
      <c r="C175" s="4" t="s">
        <v>292</v>
      </c>
      <c r="D175" s="5" t="s">
        <v>413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416</v>
      </c>
      <c r="B176" s="8" t="s">
        <v>415</v>
      </c>
      <c r="C176" s="4" t="s">
        <v>199</v>
      </c>
      <c r="D176" s="5" t="s">
        <v>329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418</v>
      </c>
      <c r="B177" s="8" t="s">
        <v>328</v>
      </c>
      <c r="C177" s="4" t="s">
        <v>199</v>
      </c>
      <c r="D177" s="5" t="s">
        <v>417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420</v>
      </c>
      <c r="B178" s="8" t="s">
        <v>419</v>
      </c>
      <c r="C178" s="4" t="s">
        <v>199</v>
      </c>
      <c r="D178" s="5" t="s">
        <v>330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421</v>
      </c>
      <c r="B179" s="8" t="s">
        <v>322</v>
      </c>
      <c r="C179" s="20"/>
      <c r="D179" s="14" t="s">
        <v>593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423</v>
      </c>
      <c r="B180" s="8" t="s">
        <v>214</v>
      </c>
      <c r="C180" s="20" t="s">
        <v>178</v>
      </c>
      <c r="D180" s="5" t="s">
        <v>422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590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424</v>
      </c>
      <c r="B182" s="8" t="s">
        <v>215</v>
      </c>
      <c r="C182" s="20" t="s">
        <v>178</v>
      </c>
      <c r="D182" s="21" t="s">
        <v>277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590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425</v>
      </c>
      <c r="B184" s="8" t="s">
        <v>216</v>
      </c>
      <c r="C184" s="20" t="s">
        <v>178</v>
      </c>
      <c r="D184" s="21" t="s">
        <v>273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590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426</v>
      </c>
      <c r="B186" s="8" t="s">
        <v>217</v>
      </c>
      <c r="C186" s="20" t="s">
        <v>178</v>
      </c>
      <c r="D186" s="23" t="s">
        <v>274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590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427</v>
      </c>
      <c r="B188" s="8" t="s">
        <v>218</v>
      </c>
      <c r="C188" s="20" t="s">
        <v>178</v>
      </c>
      <c r="D188" s="5" t="s">
        <v>275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590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428</v>
      </c>
      <c r="B190" s="8" t="s">
        <v>219</v>
      </c>
      <c r="C190" s="20" t="s">
        <v>178</v>
      </c>
      <c r="D190" s="5" t="s">
        <v>276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590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429</v>
      </c>
      <c r="B192" s="8" t="s">
        <v>220</v>
      </c>
      <c r="C192" s="20" t="s">
        <v>178</v>
      </c>
      <c r="D192" s="47" t="s">
        <v>594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590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431</v>
      </c>
      <c r="B194" s="8" t="s">
        <v>221</v>
      </c>
      <c r="C194" s="20" t="s">
        <v>178</v>
      </c>
      <c r="D194" s="5" t="s">
        <v>430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590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432</v>
      </c>
      <c r="B196" s="8" t="s">
        <v>222</v>
      </c>
      <c r="C196" s="20" t="s">
        <v>178</v>
      </c>
      <c r="D196" s="5" t="s">
        <v>26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236</v>
      </c>
      <c r="D197" s="5" t="s">
        <v>590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433</v>
      </c>
      <c r="B198" s="8" t="s">
        <v>223</v>
      </c>
      <c r="C198" s="20"/>
      <c r="D198" s="5" t="s">
        <v>617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606</v>
      </c>
      <c r="B200" s="8" t="s">
        <v>601</v>
      </c>
      <c r="C200" s="20" t="s">
        <v>233</v>
      </c>
      <c r="D200" s="5" t="s">
        <v>611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590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607</v>
      </c>
      <c r="B202" s="8" t="s">
        <v>602</v>
      </c>
      <c r="C202" s="20" t="s">
        <v>233</v>
      </c>
      <c r="D202" s="5" t="s">
        <v>612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590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608</v>
      </c>
      <c r="B204" s="8" t="s">
        <v>603</v>
      </c>
      <c r="C204" s="20" t="s">
        <v>233</v>
      </c>
      <c r="D204" s="5" t="s">
        <v>613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590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609</v>
      </c>
      <c r="B206" s="8" t="s">
        <v>604</v>
      </c>
      <c r="C206" s="20" t="s">
        <v>233</v>
      </c>
      <c r="D206" s="5" t="s">
        <v>614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590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610</v>
      </c>
      <c r="B208" s="8" t="s">
        <v>605</v>
      </c>
      <c r="C208" s="20" t="s">
        <v>233</v>
      </c>
      <c r="D208" s="5" t="s">
        <v>615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590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23</v>
      </c>
      <c r="B210" s="8" t="s">
        <v>24</v>
      </c>
      <c r="C210" s="20" t="s">
        <v>178</v>
      </c>
      <c r="D210" s="5" t="s">
        <v>27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590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443</v>
      </c>
      <c r="B212" s="20" t="s">
        <v>324</v>
      </c>
      <c r="C212" s="20" t="s">
        <v>233</v>
      </c>
      <c r="D212" s="21" t="s">
        <v>569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35</v>
      </c>
      <c r="B213" s="20" t="s">
        <v>37</v>
      </c>
      <c r="C213" s="20" t="s">
        <v>178</v>
      </c>
      <c r="D213" s="21" t="s">
        <v>36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590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444</v>
      </c>
      <c r="B215" s="4" t="s">
        <v>225</v>
      </c>
      <c r="C215" s="4" t="s">
        <v>235</v>
      </c>
      <c r="D215" s="5" t="s">
        <v>442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445</v>
      </c>
      <c r="B216" s="4" t="s">
        <v>226</v>
      </c>
      <c r="C216" s="4" t="s">
        <v>233</v>
      </c>
      <c r="D216" s="5" t="s">
        <v>570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435</v>
      </c>
      <c r="B217" s="4" t="s">
        <v>434</v>
      </c>
      <c r="C217" s="4"/>
      <c r="D217" s="47" t="s">
        <v>190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437</v>
      </c>
      <c r="B218" s="20" t="s">
        <v>436</v>
      </c>
      <c r="C218" s="20" t="s">
        <v>178</v>
      </c>
      <c r="D218" s="14" t="s">
        <v>77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556</v>
      </c>
      <c r="B219" s="20" t="s">
        <v>555</v>
      </c>
      <c r="C219" s="20" t="s">
        <v>178</v>
      </c>
      <c r="D219" s="14" t="s">
        <v>557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438</v>
      </c>
      <c r="B220" s="20" t="s">
        <v>323</v>
      </c>
      <c r="C220" s="20"/>
      <c r="D220" s="23" t="s">
        <v>317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440</v>
      </c>
      <c r="B221" s="20" t="s">
        <v>439</v>
      </c>
      <c r="C221" s="20" t="s">
        <v>178</v>
      </c>
      <c r="D221" s="46" t="s">
        <v>310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198</v>
      </c>
      <c r="C222" s="4" t="s">
        <v>178</v>
      </c>
      <c r="D222" s="5" t="s">
        <v>304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122</v>
      </c>
      <c r="B223" s="4" t="s">
        <v>123</v>
      </c>
      <c r="C223" s="4" t="s">
        <v>178</v>
      </c>
      <c r="D223" s="5" t="s">
        <v>124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174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441</v>
      </c>
      <c r="B225" s="20" t="s">
        <v>205</v>
      </c>
      <c r="C225" s="20" t="s">
        <v>178</v>
      </c>
      <c r="D225" s="21" t="s">
        <v>260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643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446</v>
      </c>
      <c r="B227" s="4" t="s">
        <v>224</v>
      </c>
      <c r="C227" s="4" t="s">
        <v>233</v>
      </c>
      <c r="D227" s="5" t="s">
        <v>571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572</v>
      </c>
      <c r="B228" s="4" t="s">
        <v>447</v>
      </c>
      <c r="C228" s="4" t="s">
        <v>233</v>
      </c>
      <c r="D228" s="5" t="s">
        <v>442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573</v>
      </c>
      <c r="B229" s="4" t="s">
        <v>574</v>
      </c>
      <c r="C229" s="4"/>
      <c r="D229" s="5" t="s">
        <v>194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575</v>
      </c>
      <c r="B230" s="4" t="s">
        <v>576</v>
      </c>
      <c r="C230" s="4" t="s">
        <v>292</v>
      </c>
      <c r="D230" s="5" t="s">
        <v>78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577</v>
      </c>
      <c r="B231" s="20" t="s">
        <v>578</v>
      </c>
      <c r="C231" s="20" t="s">
        <v>192</v>
      </c>
      <c r="D231" s="14" t="s">
        <v>193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202</v>
      </c>
      <c r="C232" s="4" t="s">
        <v>303</v>
      </c>
      <c r="D232" s="5" t="s">
        <v>304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680</v>
      </c>
      <c r="B233" s="8" t="s">
        <v>681</v>
      </c>
      <c r="C233" s="4"/>
      <c r="D233" s="5" t="s">
        <v>684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682</v>
      </c>
      <c r="B234" s="8" t="s">
        <v>683</v>
      </c>
      <c r="C234" s="4" t="s">
        <v>230</v>
      </c>
      <c r="D234" s="5" t="s">
        <v>685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686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156</v>
      </c>
      <c r="B236" s="8" t="s">
        <v>157</v>
      </c>
      <c r="C236" s="4" t="s">
        <v>230</v>
      </c>
      <c r="D236" s="5" t="s">
        <v>158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159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616</v>
      </c>
      <c r="B238" s="20" t="s">
        <v>600</v>
      </c>
      <c r="C238" s="20" t="s">
        <v>178</v>
      </c>
      <c r="D238" s="5" t="s">
        <v>25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28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112</v>
      </c>
      <c r="B240" s="4" t="s">
        <v>113</v>
      </c>
      <c r="C240" s="4" t="s">
        <v>291</v>
      </c>
      <c r="D240" s="95" t="s">
        <v>114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174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581</v>
      </c>
      <c r="B242" s="4" t="s">
        <v>580</v>
      </c>
      <c r="C242" s="4" t="s">
        <v>291</v>
      </c>
      <c r="D242" s="72" t="s">
        <v>579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624</v>
      </c>
      <c r="B243" s="4" t="s">
        <v>355</v>
      </c>
      <c r="C243" s="4"/>
      <c r="D243" s="82" t="s">
        <v>357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625</v>
      </c>
      <c r="B244" s="4" t="s">
        <v>359</v>
      </c>
      <c r="C244" s="4" t="s">
        <v>296</v>
      </c>
      <c r="D244" s="82" t="s">
        <v>360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343</v>
      </c>
      <c r="B245" s="6"/>
      <c r="C245" s="7"/>
      <c r="D245" s="31" t="s">
        <v>238</v>
      </c>
      <c r="E245" s="25">
        <f>E246</f>
        <v>5115600</v>
      </c>
      <c r="F245" s="25">
        <f t="shared" ref="F245:O245" si="36">F246</f>
        <v>5115600</v>
      </c>
      <c r="G245" s="25">
        <f t="shared" si="36"/>
        <v>3586600</v>
      </c>
      <c r="H245" s="25">
        <f t="shared" si="36"/>
        <v>98000</v>
      </c>
      <c r="I245" s="25">
        <f t="shared" si="36"/>
        <v>0</v>
      </c>
      <c r="J245" s="25">
        <f t="shared" si="36"/>
        <v>674000</v>
      </c>
      <c r="K245" s="25">
        <f>K246</f>
        <v>674000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674000</v>
      </c>
      <c r="P245" s="13">
        <f t="shared" si="27"/>
        <v>5789600</v>
      </c>
      <c r="R245" s="34"/>
    </row>
    <row r="246" spans="1:18" x14ac:dyDescent="0.2">
      <c r="A246" s="41" t="s">
        <v>448</v>
      </c>
      <c r="B246" s="8"/>
      <c r="C246" s="7"/>
      <c r="D246" s="15" t="s">
        <v>238</v>
      </c>
      <c r="E246" s="25">
        <f>E247+E250+E249</f>
        <v>5115600</v>
      </c>
      <c r="F246" s="25">
        <f>F247+F249+F248+F250</f>
        <v>5115600</v>
      </c>
      <c r="G246" s="25">
        <f t="shared" ref="G246:O246" si="37">G247+G249+G248</f>
        <v>3586600</v>
      </c>
      <c r="H246" s="25">
        <f t="shared" si="37"/>
        <v>98000</v>
      </c>
      <c r="I246" s="25">
        <f t="shared" si="37"/>
        <v>0</v>
      </c>
      <c r="J246" s="25">
        <f t="shared" si="37"/>
        <v>674000</v>
      </c>
      <c r="K246" s="25">
        <f>K247+K249+K248</f>
        <v>674000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674000</v>
      </c>
      <c r="P246" s="25">
        <f>P247+P249+P248+P250+P249</f>
        <v>6438600</v>
      </c>
    </row>
    <row r="247" spans="1:18" ht="25.9" customHeight="1" x14ac:dyDescent="0.2">
      <c r="A247" s="41" t="s">
        <v>449</v>
      </c>
      <c r="B247" s="4" t="s">
        <v>362</v>
      </c>
      <c r="C247" s="4" t="s">
        <v>290</v>
      </c>
      <c r="D247" s="14" t="s">
        <v>73</v>
      </c>
      <c r="E247" s="11">
        <f>F247+I247</f>
        <v>4715600</v>
      </c>
      <c r="F247" s="12">
        <f>4690600+25000</f>
        <v>4715600</v>
      </c>
      <c r="G247" s="12">
        <v>3586600</v>
      </c>
      <c r="H247" s="12">
        <f>73000+25000</f>
        <v>98000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4890600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133</v>
      </c>
      <c r="B249" s="8" t="s">
        <v>134</v>
      </c>
      <c r="C249" s="4" t="s">
        <v>178</v>
      </c>
      <c r="D249" s="99" t="s">
        <v>135</v>
      </c>
      <c r="E249" s="11">
        <f>F249+I249</f>
        <v>150000</v>
      </c>
      <c r="F249" s="11">
        <v>150000</v>
      </c>
      <c r="G249" s="11"/>
      <c r="H249" s="11"/>
      <c r="I249" s="11">
        <f t="shared" ref="I249:N249" si="39">I250</f>
        <v>0</v>
      </c>
      <c r="J249" s="11">
        <f>L249+O249</f>
        <v>499000</v>
      </c>
      <c r="K249" s="11">
        <v>499000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499000</v>
      </c>
      <c r="P249" s="13">
        <f t="shared" si="38"/>
        <v>649000</v>
      </c>
    </row>
    <row r="250" spans="1:18" x14ac:dyDescent="0.2">
      <c r="A250" s="41" t="s">
        <v>450</v>
      </c>
      <c r="B250" s="20" t="s">
        <v>337</v>
      </c>
      <c r="C250" s="4" t="s">
        <v>178</v>
      </c>
      <c r="D250" s="47" t="s">
        <v>336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71</v>
      </c>
      <c r="E251" s="25">
        <f>E253</f>
        <v>62208700</v>
      </c>
      <c r="F251" s="25">
        <f t="shared" ref="F251:O251" si="40">F253</f>
        <v>62208700</v>
      </c>
      <c r="G251" s="25">
        <f t="shared" si="40"/>
        <v>38849300</v>
      </c>
      <c r="H251" s="25">
        <f t="shared" si="40"/>
        <v>8810300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65723800</v>
      </c>
      <c r="R251" s="34"/>
    </row>
    <row r="252" spans="1:18" hidden="1" x14ac:dyDescent="0.2">
      <c r="A252" s="62"/>
      <c r="B252" s="6"/>
      <c r="C252" s="7"/>
      <c r="D252" s="35" t="s">
        <v>643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451</v>
      </c>
      <c r="B253" s="8"/>
      <c r="C253" s="7"/>
      <c r="D253" s="15" t="s">
        <v>71</v>
      </c>
      <c r="E253" s="25">
        <f>E254+E255+E258+E260+E261+E263+E264+E257</f>
        <v>62208700</v>
      </c>
      <c r="F253" s="25">
        <f>F254+F255+F258+F260+F261+F263+F264+F257</f>
        <v>62208700</v>
      </c>
      <c r="G253" s="25">
        <f>G254+G255+G258+G260+G261+G263+G264</f>
        <v>38849300</v>
      </c>
      <c r="H253" s="25">
        <f>H254+H255+H258+H260+H261+H263+H264</f>
        <v>8810300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65723800</v>
      </c>
    </row>
    <row r="254" spans="1:18" ht="25.5" x14ac:dyDescent="0.2">
      <c r="A254" s="41" t="s">
        <v>452</v>
      </c>
      <c r="B254" s="4" t="s">
        <v>362</v>
      </c>
      <c r="C254" s="4" t="s">
        <v>290</v>
      </c>
      <c r="D254" s="14" t="s">
        <v>73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111</v>
      </c>
      <c r="B255" s="20" t="s">
        <v>87</v>
      </c>
      <c r="C255" s="20" t="s">
        <v>308</v>
      </c>
      <c r="D255" s="5" t="s">
        <v>53</v>
      </c>
      <c r="E255" s="11">
        <f>F255+I255</f>
        <v>25046700</v>
      </c>
      <c r="F255" s="12">
        <f>26276500-1999800+174000+596000</f>
        <v>25046700</v>
      </c>
      <c r="G255" s="12">
        <f>20263200-1999800</f>
        <v>18263400</v>
      </c>
      <c r="H255" s="12">
        <f>1500000+596000</f>
        <v>2096000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27286700</v>
      </c>
    </row>
    <row r="256" spans="1:18" s="1" customFormat="1" hidden="1" x14ac:dyDescent="0.2">
      <c r="A256" s="36"/>
      <c r="B256" s="22"/>
      <c r="C256" s="22"/>
      <c r="D256" s="35" t="s">
        <v>643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106</v>
      </c>
      <c r="B257" s="20" t="s">
        <v>439</v>
      </c>
      <c r="C257" s="8" t="s">
        <v>178</v>
      </c>
      <c r="D257" s="47" t="s">
        <v>310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455</v>
      </c>
      <c r="B258" s="20" t="s">
        <v>454</v>
      </c>
      <c r="C258" s="20" t="s">
        <v>239</v>
      </c>
      <c r="D258" s="5" t="s">
        <v>453</v>
      </c>
      <c r="E258" s="11">
        <f t="shared" si="43"/>
        <v>8352900</v>
      </c>
      <c r="F258" s="12">
        <f>7870400+150500+332000</f>
        <v>8352900</v>
      </c>
      <c r="G258" s="12">
        <v>5689100</v>
      </c>
      <c r="H258" s="12">
        <f>841500+332000</f>
        <v>1173500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8532900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458</v>
      </c>
      <c r="B260" s="4" t="s">
        <v>457</v>
      </c>
      <c r="C260" s="4" t="s">
        <v>239</v>
      </c>
      <c r="D260" s="14" t="s">
        <v>456</v>
      </c>
      <c r="E260" s="11">
        <f>F260+I260</f>
        <v>5460800</v>
      </c>
      <c r="F260" s="12">
        <f>5173600+10200+277000</f>
        <v>5460800</v>
      </c>
      <c r="G260" s="12">
        <v>3475400</v>
      </c>
      <c r="H260" s="12">
        <f>710800+277000</f>
        <v>987800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5505400</v>
      </c>
    </row>
    <row r="261" spans="1:18" ht="25.5" x14ac:dyDescent="0.2">
      <c r="A261" s="41" t="s">
        <v>460</v>
      </c>
      <c r="B261" s="20" t="s">
        <v>227</v>
      </c>
      <c r="C261" s="20" t="s">
        <v>240</v>
      </c>
      <c r="D261" s="21" t="s">
        <v>459</v>
      </c>
      <c r="E261" s="11">
        <f t="shared" si="43"/>
        <v>13673400</v>
      </c>
      <c r="F261" s="12">
        <f>11967200+500200+1206000</f>
        <v>13673400</v>
      </c>
      <c r="G261" s="12">
        <v>7274800</v>
      </c>
      <c r="H261" s="12">
        <f>3347000+1206000</f>
        <v>4553000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14463900</v>
      </c>
    </row>
    <row r="262" spans="1:18" hidden="1" x14ac:dyDescent="0.2">
      <c r="A262" s="41" t="s">
        <v>463</v>
      </c>
      <c r="B262" s="20" t="s">
        <v>462</v>
      </c>
      <c r="C262" s="20"/>
      <c r="D262" s="5" t="s">
        <v>461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584</v>
      </c>
      <c r="B263" s="20" t="s">
        <v>582</v>
      </c>
      <c r="C263" s="20" t="s">
        <v>241</v>
      </c>
      <c r="D263" s="5" t="s">
        <v>586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585</v>
      </c>
      <c r="B264" s="20" t="s">
        <v>583</v>
      </c>
      <c r="C264" s="20" t="s">
        <v>241</v>
      </c>
      <c r="D264" s="5" t="s">
        <v>587</v>
      </c>
      <c r="E264" s="11">
        <f t="shared" si="43"/>
        <v>3530000</v>
      </c>
      <c r="F264" s="12">
        <f>3450000+80000</f>
        <v>3530000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3530000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72</v>
      </c>
      <c r="E265" s="25">
        <f>E266</f>
        <v>34221200</v>
      </c>
      <c r="F265" s="25">
        <f>F266</f>
        <v>34221200</v>
      </c>
      <c r="G265" s="25">
        <f>G266</f>
        <v>16846900</v>
      </c>
      <c r="H265" s="25">
        <f>H266</f>
        <v>3559000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35324600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72</v>
      </c>
      <c r="E266" s="25">
        <f>E267+E270+E271+E273+E275+E278+E280+E281</f>
        <v>34221200</v>
      </c>
      <c r="F266" s="25">
        <f>F267+F270+F271+F273+F275+F278+F280+F281</f>
        <v>34221200</v>
      </c>
      <c r="G266" s="25">
        <f>G267+G257+G270+G271+G273+G275+G278+G280+G281</f>
        <v>16846900</v>
      </c>
      <c r="H266" s="25">
        <f>H267+H257+H270+H271+H273+H275+H278+H280+H281</f>
        <v>3559000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35324600</v>
      </c>
    </row>
    <row r="267" spans="1:18" ht="25.5" x14ac:dyDescent="0.2">
      <c r="A267" s="41" t="s">
        <v>464</v>
      </c>
      <c r="B267" s="4" t="s">
        <v>362</v>
      </c>
      <c r="C267" s="26" t="s">
        <v>290</v>
      </c>
      <c r="D267" s="14" t="s">
        <v>73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465</v>
      </c>
      <c r="B268" s="20" t="s">
        <v>323</v>
      </c>
      <c r="C268" s="27"/>
      <c r="D268" s="23" t="s">
        <v>317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318</v>
      </c>
      <c r="C269" s="27"/>
      <c r="D269" s="21" t="s">
        <v>195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206</v>
      </c>
      <c r="C270" s="27" t="s">
        <v>179</v>
      </c>
      <c r="D270" s="5" t="s">
        <v>261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189</v>
      </c>
      <c r="C271" s="27" t="s">
        <v>179</v>
      </c>
      <c r="D271" s="23" t="s">
        <v>188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551</v>
      </c>
      <c r="B272" s="20" t="s">
        <v>552</v>
      </c>
      <c r="C272" s="27"/>
      <c r="D272" s="23" t="s">
        <v>596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554</v>
      </c>
      <c r="B273" s="20" t="s">
        <v>553</v>
      </c>
      <c r="C273" s="27" t="s">
        <v>179</v>
      </c>
      <c r="D273" s="23" t="s">
        <v>597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319</v>
      </c>
      <c r="C274" s="27"/>
      <c r="D274" s="5" t="s">
        <v>311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312</v>
      </c>
      <c r="C275" s="27" t="s">
        <v>179</v>
      </c>
      <c r="D275" s="5" t="s">
        <v>262</v>
      </c>
      <c r="E275" s="11">
        <f t="shared" si="47"/>
        <v>20153500</v>
      </c>
      <c r="F275" s="12">
        <f>21472100-2500000+204800+976600</f>
        <v>20153500</v>
      </c>
      <c r="G275" s="12">
        <v>13745900</v>
      </c>
      <c r="H275" s="12">
        <f>2582400+976600</f>
        <v>3559000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20956900</v>
      </c>
    </row>
    <row r="276" spans="1:18" s="1" customFormat="1" ht="18" hidden="1" customHeight="1" x14ac:dyDescent="0.2">
      <c r="A276" s="36"/>
      <c r="B276" s="22"/>
      <c r="C276" s="28"/>
      <c r="D276" s="35" t="s">
        <v>643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313</v>
      </c>
      <c r="C277" s="27"/>
      <c r="D277" s="5" t="s">
        <v>314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315</v>
      </c>
      <c r="C278" s="27" t="s">
        <v>179</v>
      </c>
      <c r="D278" s="5" t="s">
        <v>466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619</v>
      </c>
      <c r="B279" s="20" t="s">
        <v>621</v>
      </c>
      <c r="C279" s="27"/>
      <c r="D279" s="5" t="s">
        <v>620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137</v>
      </c>
      <c r="B280" s="22" t="s">
        <v>138</v>
      </c>
      <c r="C280" s="28" t="s">
        <v>179</v>
      </c>
      <c r="D280" s="5" t="s">
        <v>139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661</v>
      </c>
      <c r="B281" s="22" t="s">
        <v>662</v>
      </c>
      <c r="C281" s="28" t="s">
        <v>179</v>
      </c>
      <c r="D281" s="47" t="s">
        <v>663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242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643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467</v>
      </c>
      <c r="B284" s="8"/>
      <c r="C284" s="7"/>
      <c r="D284" s="15" t="s">
        <v>280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468</v>
      </c>
      <c r="B285" s="4" t="s">
        <v>362</v>
      </c>
      <c r="C285" s="4" t="s">
        <v>290</v>
      </c>
      <c r="D285" s="14" t="s">
        <v>73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228</v>
      </c>
      <c r="C286" s="4" t="s">
        <v>293</v>
      </c>
      <c r="D286" s="75" t="s">
        <v>249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470</v>
      </c>
      <c r="B287" s="4" t="s">
        <v>228</v>
      </c>
      <c r="C287" s="4"/>
      <c r="D287" s="84" t="s">
        <v>469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473</v>
      </c>
      <c r="B288" s="3" t="s">
        <v>472</v>
      </c>
      <c r="C288" s="3" t="s">
        <v>293</v>
      </c>
      <c r="D288" s="19" t="s">
        <v>471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643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626</v>
      </c>
      <c r="B290" s="4" t="s">
        <v>627</v>
      </c>
      <c r="C290" s="4" t="s">
        <v>243</v>
      </c>
      <c r="D290" s="21" t="s">
        <v>628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475</v>
      </c>
      <c r="B291" s="3" t="s">
        <v>474</v>
      </c>
      <c r="C291" s="3" t="s">
        <v>243</v>
      </c>
      <c r="D291" s="19" t="s">
        <v>476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480</v>
      </c>
      <c r="B292" s="3" t="s">
        <v>481</v>
      </c>
      <c r="C292" s="3" t="s">
        <v>243</v>
      </c>
      <c r="D292" s="19" t="s">
        <v>334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485</v>
      </c>
      <c r="B293" s="85">
        <v>6020</v>
      </c>
      <c r="C293" s="4" t="s">
        <v>243</v>
      </c>
      <c r="D293" s="5" t="s">
        <v>484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643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485</v>
      </c>
      <c r="B295" s="85">
        <v>6020</v>
      </c>
      <c r="C295" s="4" t="s">
        <v>243</v>
      </c>
      <c r="D295" s="15" t="s">
        <v>484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479</v>
      </c>
      <c r="B296" s="4" t="s">
        <v>478</v>
      </c>
      <c r="C296" s="4" t="s">
        <v>243</v>
      </c>
      <c r="D296" s="21" t="s">
        <v>477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333</v>
      </c>
      <c r="C297" s="81" t="s">
        <v>243</v>
      </c>
      <c r="D297" s="23" t="s">
        <v>334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643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483</v>
      </c>
      <c r="B299" s="81" t="s">
        <v>482</v>
      </c>
      <c r="C299" s="81" t="s">
        <v>243</v>
      </c>
      <c r="D299" s="46" t="s">
        <v>338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488</v>
      </c>
      <c r="B300" s="85">
        <v>6070</v>
      </c>
      <c r="C300" s="4"/>
      <c r="D300" s="23" t="s">
        <v>486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489</v>
      </c>
      <c r="B301" s="86">
        <v>6072</v>
      </c>
      <c r="C301" s="3" t="s">
        <v>335</v>
      </c>
      <c r="D301" s="69" t="s">
        <v>487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55</v>
      </c>
      <c r="B302" s="81" t="s">
        <v>533</v>
      </c>
      <c r="C302" s="4" t="s">
        <v>534</v>
      </c>
      <c r="D302" s="14" t="s">
        <v>532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492</v>
      </c>
      <c r="B303" s="8" t="s">
        <v>491</v>
      </c>
      <c r="C303" s="4"/>
      <c r="D303" s="21" t="s">
        <v>490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495</v>
      </c>
      <c r="B304" s="88" t="s">
        <v>494</v>
      </c>
      <c r="C304" s="4" t="s">
        <v>244</v>
      </c>
      <c r="D304" s="21" t="s">
        <v>493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498</v>
      </c>
      <c r="B305" s="89" t="s">
        <v>497</v>
      </c>
      <c r="C305" s="22" t="s">
        <v>244</v>
      </c>
      <c r="D305" s="24" t="s">
        <v>496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643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501</v>
      </c>
      <c r="B307" s="89" t="s">
        <v>500</v>
      </c>
      <c r="C307" s="22" t="s">
        <v>244</v>
      </c>
      <c r="D307" s="24" t="s">
        <v>499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503</v>
      </c>
      <c r="B308" s="8" t="s">
        <v>350</v>
      </c>
      <c r="C308" s="4" t="s">
        <v>296</v>
      </c>
      <c r="D308" s="21" t="s">
        <v>502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506</v>
      </c>
      <c r="B309" s="8" t="s">
        <v>505</v>
      </c>
      <c r="C309" s="4" t="s">
        <v>335</v>
      </c>
      <c r="D309" s="5" t="s">
        <v>504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32</v>
      </c>
      <c r="B310" s="4" t="s">
        <v>359</v>
      </c>
      <c r="C310" s="3" t="s">
        <v>296</v>
      </c>
      <c r="D310" s="73" t="s">
        <v>360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38</v>
      </c>
      <c r="B311" s="4" t="s">
        <v>353</v>
      </c>
      <c r="C311" s="4" t="s">
        <v>299</v>
      </c>
      <c r="D311" s="82" t="s">
        <v>560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136</v>
      </c>
      <c r="E312" s="25">
        <f>E321</f>
        <v>138163500</v>
      </c>
      <c r="F312" s="25">
        <f t="shared" ref="F312:O312" si="59">F321</f>
        <v>138163500</v>
      </c>
      <c r="G312" s="25">
        <f t="shared" si="59"/>
        <v>8221100</v>
      </c>
      <c r="H312" s="25">
        <f t="shared" si="59"/>
        <v>17764000</v>
      </c>
      <c r="I312" s="25">
        <f t="shared" si="59"/>
        <v>0</v>
      </c>
      <c r="J312" s="25">
        <f t="shared" si="59"/>
        <v>89472000</v>
      </c>
      <c r="K312" s="25">
        <f>K321</f>
        <v>63472000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89472000</v>
      </c>
      <c r="P312" s="13">
        <f t="shared" si="58"/>
        <v>227635500</v>
      </c>
      <c r="R312" s="34"/>
    </row>
    <row r="313" spans="1:18" s="1" customFormat="1" hidden="1" x14ac:dyDescent="0.2">
      <c r="A313" s="36"/>
      <c r="B313" s="18"/>
      <c r="C313" s="3"/>
      <c r="D313" s="15" t="s">
        <v>643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41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678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670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121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173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customHeight="1" x14ac:dyDescent="0.2">
      <c r="A320" s="62"/>
      <c r="B320" s="6"/>
      <c r="C320" s="7"/>
      <c r="D320" s="24" t="s">
        <v>644</v>
      </c>
      <c r="E320" s="25">
        <f>F320+I320</f>
        <v>0</v>
      </c>
      <c r="F320" s="25"/>
      <c r="G320" s="25"/>
      <c r="H320" s="25"/>
      <c r="I320" s="25"/>
      <c r="J320" s="17">
        <f>L320+O320</f>
        <v>26000000</v>
      </c>
      <c r="K320" s="33">
        <f>SUM(K381)</f>
        <v>0</v>
      </c>
      <c r="L320" s="17"/>
      <c r="M320" s="17"/>
      <c r="N320" s="17"/>
      <c r="O320" s="33">
        <f>O381</f>
        <v>26000000</v>
      </c>
      <c r="P320" s="13">
        <f t="shared" si="58"/>
        <v>26000000</v>
      </c>
    </row>
    <row r="321" spans="1:17" ht="25.5" x14ac:dyDescent="0.2">
      <c r="A321" s="41" t="s">
        <v>507</v>
      </c>
      <c r="B321" s="8"/>
      <c r="C321" s="7"/>
      <c r="D321" s="15" t="s">
        <v>136</v>
      </c>
      <c r="E321" s="29">
        <f>E322+E342+E371+E382+E344+E338+E369</f>
        <v>138163500</v>
      </c>
      <c r="F321" s="29">
        <f>F322+F342+F371+F382+F344+F338+F369</f>
        <v>138163500</v>
      </c>
      <c r="G321" s="29">
        <f>G322+G342+G371+G382</f>
        <v>8221100</v>
      </c>
      <c r="H321" s="29">
        <f>H322+H342+H371+H382</f>
        <v>17764000</v>
      </c>
      <c r="I321" s="29">
        <f>I322+I342+I371</f>
        <v>0</v>
      </c>
      <c r="J321" s="29">
        <f>J322+J324+J330+J334+J337+J340+J342+J345+J346+J353+J354+J362+J364+J367+J371+J378+J379+J380+J339+J332+J327+J365+J328+J338</f>
        <v>89472000</v>
      </c>
      <c r="K321" s="29">
        <f>K322+K324+K330+K334+K337+K340+K342+K345+K346+K353+K354+K362+K364+K367+K371+K378+K379+K380+K339+K332+K327+K365+K328+K338</f>
        <v>63472000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</f>
        <v>89472000</v>
      </c>
      <c r="P321" s="13">
        <f t="shared" si="58"/>
        <v>227635500</v>
      </c>
      <c r="Q321" s="101"/>
    </row>
    <row r="322" spans="1:17" ht="25.5" x14ac:dyDescent="0.2">
      <c r="A322" s="41" t="s">
        <v>508</v>
      </c>
      <c r="B322" s="4" t="s">
        <v>362</v>
      </c>
      <c r="C322" s="4" t="s">
        <v>290</v>
      </c>
      <c r="D322" s="14" t="s">
        <v>73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hidden="1" customHeight="1" x14ac:dyDescent="0.2">
      <c r="A323" s="41" t="s">
        <v>509</v>
      </c>
      <c r="B323" s="20" t="s">
        <v>233</v>
      </c>
      <c r="C323" s="20" t="s">
        <v>306</v>
      </c>
      <c r="D323" s="5" t="s">
        <v>364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102</v>
      </c>
      <c r="B324" s="20" t="s">
        <v>79</v>
      </c>
      <c r="C324" s="20" t="s">
        <v>307</v>
      </c>
      <c r="D324" s="21" t="s">
        <v>88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43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4</v>
      </c>
      <c r="B326" s="20" t="s">
        <v>291</v>
      </c>
      <c r="C326" s="20" t="s">
        <v>308</v>
      </c>
      <c r="D326" s="21" t="s">
        <v>52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152</v>
      </c>
      <c r="B327" s="20" t="s">
        <v>153</v>
      </c>
      <c r="C327" s="20" t="s">
        <v>309</v>
      </c>
      <c r="D327" s="5" t="s">
        <v>164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119</v>
      </c>
      <c r="B328" s="20" t="s">
        <v>118</v>
      </c>
      <c r="C328" s="20" t="s">
        <v>309</v>
      </c>
      <c r="D328" s="5" t="s">
        <v>120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121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528</v>
      </c>
      <c r="B330" s="4" t="s">
        <v>207</v>
      </c>
      <c r="C330" s="4" t="s">
        <v>180</v>
      </c>
      <c r="D330" s="5" t="s">
        <v>264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643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671</v>
      </c>
      <c r="B332" s="4" t="s">
        <v>372</v>
      </c>
      <c r="C332" s="4" t="s">
        <v>181</v>
      </c>
      <c r="D332" s="5" t="s">
        <v>266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529</v>
      </c>
      <c r="B333" s="4" t="s">
        <v>380</v>
      </c>
      <c r="C333" s="4"/>
      <c r="D333" s="14" t="s">
        <v>592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530</v>
      </c>
      <c r="B334" s="3" t="s">
        <v>383</v>
      </c>
      <c r="C334" s="3" t="s">
        <v>618</v>
      </c>
      <c r="D334" s="15" t="s">
        <v>382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1</v>
      </c>
      <c r="B335" s="4" t="s">
        <v>227</v>
      </c>
      <c r="C335" s="20" t="s">
        <v>240</v>
      </c>
      <c r="D335" s="21" t="s">
        <v>459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31</v>
      </c>
      <c r="B336" s="4" t="s">
        <v>312</v>
      </c>
      <c r="C336" s="22" t="s">
        <v>179</v>
      </c>
      <c r="D336" s="5" t="s">
        <v>262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42</v>
      </c>
      <c r="B337" s="4" t="s">
        <v>472</v>
      </c>
      <c r="C337" s="22" t="s">
        <v>293</v>
      </c>
      <c r="D337" s="5" t="s">
        <v>471</v>
      </c>
      <c r="E337" s="11"/>
      <c r="F337" s="12"/>
      <c r="G337" s="12"/>
      <c r="H337" s="12"/>
      <c r="I337" s="12"/>
      <c r="J337" s="11">
        <f>L337+O337</f>
        <v>1000000</v>
      </c>
      <c r="K337" s="12"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151</v>
      </c>
      <c r="B338" s="4" t="s">
        <v>627</v>
      </c>
      <c r="C338" s="22" t="s">
        <v>243</v>
      </c>
      <c r="D338" s="5" t="s">
        <v>628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148</v>
      </c>
      <c r="B339" s="4" t="s">
        <v>474</v>
      </c>
      <c r="C339" s="22" t="s">
        <v>243</v>
      </c>
      <c r="D339" s="5" t="s">
        <v>476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140</v>
      </c>
      <c r="B340" s="4" t="s">
        <v>526</v>
      </c>
      <c r="C340" s="4" t="s">
        <v>243</v>
      </c>
      <c r="D340" s="21" t="s">
        <v>527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531</v>
      </c>
      <c r="B342" s="20" t="s">
        <v>478</v>
      </c>
      <c r="C342" s="20" t="s">
        <v>243</v>
      </c>
      <c r="D342" s="21" t="s">
        <v>477</v>
      </c>
      <c r="E342" s="11">
        <f t="shared" si="65"/>
        <v>75939500</v>
      </c>
      <c r="F342" s="30">
        <f>77929500-9500000+2500000+2000000+3210000-200000</f>
        <v>75939500</v>
      </c>
      <c r="G342" s="30"/>
      <c r="H342" s="30">
        <f>12550000+2000000+3210000</f>
        <v>17760000</v>
      </c>
      <c r="I342" s="30"/>
      <c r="J342" s="11">
        <f t="shared" si="66"/>
        <v>1600000</v>
      </c>
      <c r="K342" s="30">
        <v>1600000</v>
      </c>
      <c r="L342" s="30"/>
      <c r="M342" s="30"/>
      <c r="N342" s="30"/>
      <c r="O342" s="12">
        <f t="shared" si="67"/>
        <v>1600000</v>
      </c>
      <c r="P342" s="13">
        <f t="shared" si="68"/>
        <v>77539500</v>
      </c>
    </row>
    <row r="343" spans="1:16" ht="25.5" hidden="1" x14ac:dyDescent="0.2">
      <c r="A343" s="41"/>
      <c r="B343" s="20"/>
      <c r="C343" s="20"/>
      <c r="D343" s="19" t="s">
        <v>678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hidden="1" x14ac:dyDescent="0.2">
      <c r="A344" s="41" t="s">
        <v>149</v>
      </c>
      <c r="B344" s="20" t="s">
        <v>482</v>
      </c>
      <c r="C344" s="20" t="s">
        <v>243</v>
      </c>
      <c r="D344" s="5" t="s">
        <v>150</v>
      </c>
      <c r="E344" s="11">
        <f t="shared" si="65"/>
        <v>0</v>
      </c>
      <c r="F344" s="30"/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0</v>
      </c>
    </row>
    <row r="345" spans="1:16" x14ac:dyDescent="0.2">
      <c r="A345" s="41" t="s">
        <v>40</v>
      </c>
      <c r="B345" s="81" t="s">
        <v>505</v>
      </c>
      <c r="C345" s="81" t="s">
        <v>335</v>
      </c>
      <c r="D345" s="5" t="s">
        <v>504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535</v>
      </c>
      <c r="B346" s="4" t="s">
        <v>533</v>
      </c>
      <c r="C346" s="4" t="s">
        <v>534</v>
      </c>
      <c r="D346" s="14" t="s">
        <v>532</v>
      </c>
      <c r="E346" s="11">
        <f t="shared" si="65"/>
        <v>0</v>
      </c>
      <c r="F346" s="12"/>
      <c r="G346" s="12"/>
      <c r="H346" s="12"/>
      <c r="I346" s="12"/>
      <c r="J346" s="11">
        <f t="shared" si="66"/>
        <v>8355000</v>
      </c>
      <c r="K346" s="12">
        <f>3355000+5000000</f>
        <v>8355000</v>
      </c>
      <c r="L346" s="12"/>
      <c r="M346" s="12"/>
      <c r="N346" s="12"/>
      <c r="O346" s="12">
        <f t="shared" si="67"/>
        <v>8355000</v>
      </c>
      <c r="P346" s="13">
        <f t="shared" si="68"/>
        <v>8355000</v>
      </c>
    </row>
    <row r="347" spans="1:16" s="1" customFormat="1" ht="25.5" hidden="1" x14ac:dyDescent="0.2">
      <c r="A347" s="36"/>
      <c r="B347" s="3"/>
      <c r="C347" s="3"/>
      <c r="D347" s="19" t="s">
        <v>678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643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538</v>
      </c>
      <c r="B349" s="4" t="s">
        <v>537</v>
      </c>
      <c r="C349" s="4"/>
      <c r="D349" s="21" t="s">
        <v>536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41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643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542</v>
      </c>
      <c r="B352" s="3" t="s">
        <v>539</v>
      </c>
      <c r="C352" s="3" t="s">
        <v>534</v>
      </c>
      <c r="D352" s="19" t="s">
        <v>545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s="1" customFormat="1" hidden="1" x14ac:dyDescent="0.2">
      <c r="A353" s="36" t="s">
        <v>543</v>
      </c>
      <c r="B353" s="3" t="s">
        <v>540</v>
      </c>
      <c r="C353" s="3" t="s">
        <v>534</v>
      </c>
      <c r="D353" s="19" t="s">
        <v>546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67"/>
        <v>0</v>
      </c>
      <c r="P353" s="13">
        <f t="shared" si="68"/>
        <v>0</v>
      </c>
    </row>
    <row r="354" spans="1:16" s="1" customFormat="1" x14ac:dyDescent="0.2">
      <c r="A354" s="36" t="s">
        <v>544</v>
      </c>
      <c r="B354" s="3" t="s">
        <v>541</v>
      </c>
      <c r="C354" s="3" t="s">
        <v>534</v>
      </c>
      <c r="D354" s="19" t="s">
        <v>547</v>
      </c>
      <c r="E354" s="11">
        <f t="shared" si="65"/>
        <v>0</v>
      </c>
      <c r="F354" s="17"/>
      <c r="G354" s="17"/>
      <c r="H354" s="17"/>
      <c r="I354" s="17"/>
      <c r="J354" s="11">
        <f t="shared" si="66"/>
        <v>5550000</v>
      </c>
      <c r="K354" s="17">
        <f>550000+5000000</f>
        <v>5550000</v>
      </c>
      <c r="L354" s="17"/>
      <c r="M354" s="17"/>
      <c r="N354" s="17"/>
      <c r="O354" s="12">
        <f t="shared" si="67"/>
        <v>5550000</v>
      </c>
      <c r="P354" s="13">
        <f t="shared" si="68"/>
        <v>5550000</v>
      </c>
    </row>
    <row r="355" spans="1:16" ht="25.5" hidden="1" x14ac:dyDescent="0.2">
      <c r="A355" s="41">
        <v>4713100</v>
      </c>
      <c r="B355" s="4" t="s">
        <v>324</v>
      </c>
      <c r="C355" s="4"/>
      <c r="D355" s="21" t="s">
        <v>191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226</v>
      </c>
      <c r="C356" s="3" t="s">
        <v>233</v>
      </c>
      <c r="D356" s="24" t="s">
        <v>279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313</v>
      </c>
      <c r="C357" s="20"/>
      <c r="D357" s="5" t="s">
        <v>314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315</v>
      </c>
      <c r="C358" s="22" t="s">
        <v>179</v>
      </c>
      <c r="D358" s="24" t="s">
        <v>316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325</v>
      </c>
      <c r="C359" s="4"/>
      <c r="D359" s="47" t="s">
        <v>253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229</v>
      </c>
      <c r="C360" s="3" t="s">
        <v>243</v>
      </c>
      <c r="D360" s="90" t="s">
        <v>254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173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637</v>
      </c>
      <c r="B362" s="4" t="s">
        <v>638</v>
      </c>
      <c r="C362" s="4" t="s">
        <v>534</v>
      </c>
      <c r="D362" s="21" t="s">
        <v>30</v>
      </c>
      <c r="E362" s="11">
        <f t="shared" si="65"/>
        <v>0</v>
      </c>
      <c r="F362" s="12"/>
      <c r="G362" s="12"/>
      <c r="H362" s="12"/>
      <c r="I362" s="12"/>
      <c r="J362" s="11">
        <f t="shared" si="66"/>
        <v>270000</v>
      </c>
      <c r="K362" s="12">
        <v>270000</v>
      </c>
      <c r="L362" s="12"/>
      <c r="M362" s="12"/>
      <c r="N362" s="12"/>
      <c r="O362" s="12">
        <f>K362</f>
        <v>270000</v>
      </c>
      <c r="P362" s="13">
        <f t="shared" si="68"/>
        <v>270000</v>
      </c>
    </row>
    <row r="363" spans="1:16" ht="27.75" hidden="1" customHeight="1" x14ac:dyDescent="0.2">
      <c r="A363" s="41" t="s">
        <v>651</v>
      </c>
      <c r="B363" s="4" t="s">
        <v>652</v>
      </c>
      <c r="C363" s="4"/>
      <c r="D363" s="21" t="s">
        <v>653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654</v>
      </c>
      <c r="B364" s="3" t="s">
        <v>655</v>
      </c>
      <c r="C364" s="3" t="s">
        <v>296</v>
      </c>
      <c r="D364" s="19" t="s">
        <v>656</v>
      </c>
      <c r="E364" s="10">
        <f t="shared" si="65"/>
        <v>0</v>
      </c>
      <c r="F364" s="17"/>
      <c r="G364" s="17"/>
      <c r="H364" s="17"/>
      <c r="I364" s="17"/>
      <c r="J364" s="10">
        <f t="shared" si="66"/>
        <v>10320000</v>
      </c>
      <c r="K364" s="17">
        <f>320000+5000000+5000000</f>
        <v>10320000</v>
      </c>
      <c r="L364" s="17"/>
      <c r="M364" s="17"/>
      <c r="N364" s="17"/>
      <c r="O364" s="17">
        <f t="shared" si="71"/>
        <v>10320000</v>
      </c>
      <c r="P364" s="16">
        <f t="shared" si="68"/>
        <v>10320000</v>
      </c>
    </row>
    <row r="365" spans="1:16" ht="25.5" hidden="1" x14ac:dyDescent="0.2">
      <c r="A365" s="41" t="s">
        <v>679</v>
      </c>
      <c r="B365" s="4" t="s">
        <v>676</v>
      </c>
      <c r="C365" s="4" t="s">
        <v>296</v>
      </c>
      <c r="D365" s="21" t="s">
        <v>677</v>
      </c>
      <c r="E365" s="11">
        <f t="shared" si="65"/>
        <v>0</v>
      </c>
      <c r="F365" s="12"/>
      <c r="G365" s="12"/>
      <c r="H365" s="12"/>
      <c r="I365" s="12"/>
      <c r="J365" s="11">
        <f t="shared" si="66"/>
        <v>0</v>
      </c>
      <c r="K365" s="12"/>
      <c r="L365" s="12"/>
      <c r="M365" s="12"/>
      <c r="N365" s="12"/>
      <c r="O365" s="12">
        <f t="shared" si="71"/>
        <v>0</v>
      </c>
      <c r="P365" s="13">
        <f t="shared" si="68"/>
        <v>0</v>
      </c>
    </row>
    <row r="366" spans="1:16" s="1" customFormat="1" ht="25.5" hidden="1" x14ac:dyDescent="0.2">
      <c r="A366" s="36"/>
      <c r="B366" s="3"/>
      <c r="C366" s="3"/>
      <c r="D366" s="19" t="s">
        <v>678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668</v>
      </c>
      <c r="B367" s="3" t="s">
        <v>666</v>
      </c>
      <c r="C367" s="3" t="s">
        <v>296</v>
      </c>
      <c r="D367" s="35" t="s">
        <v>669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14132000</v>
      </c>
      <c r="K367" s="17">
        <f>19132000-5000000</f>
        <v>14132000</v>
      </c>
      <c r="L367" s="17"/>
      <c r="M367" s="17"/>
      <c r="N367" s="17"/>
      <c r="O367" s="17">
        <f t="shared" si="71"/>
        <v>14132000</v>
      </c>
      <c r="P367" s="16">
        <f t="shared" si="68"/>
        <v>14132000</v>
      </c>
    </row>
    <row r="368" spans="1:16" s="1" customFormat="1" ht="25.5" hidden="1" x14ac:dyDescent="0.2">
      <c r="A368" s="36"/>
      <c r="B368" s="3"/>
      <c r="C368" s="3"/>
      <c r="D368" s="35" t="s">
        <v>670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125</v>
      </c>
      <c r="B369" s="8" t="s">
        <v>126</v>
      </c>
      <c r="C369" s="4" t="s">
        <v>155</v>
      </c>
      <c r="D369" s="77" t="s">
        <v>127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60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22</v>
      </c>
      <c r="B371" s="22" t="s">
        <v>494</v>
      </c>
      <c r="C371" s="3" t="s">
        <v>244</v>
      </c>
      <c r="D371" s="19" t="s">
        <v>493</v>
      </c>
      <c r="E371" s="10">
        <f t="shared" si="65"/>
        <v>51500000</v>
      </c>
      <c r="F371" s="17">
        <v>51500000</v>
      </c>
      <c r="G371" s="17"/>
      <c r="H371" s="17"/>
      <c r="I371" s="17"/>
      <c r="J371" s="11">
        <f t="shared" ref="J371:J377" si="72">L371+O371</f>
        <v>11675000</v>
      </c>
      <c r="K371" s="17">
        <v>11675000</v>
      </c>
      <c r="L371" s="17"/>
      <c r="M371" s="17"/>
      <c r="N371" s="17"/>
      <c r="O371" s="17">
        <f>K371</f>
        <v>11675000</v>
      </c>
      <c r="P371" s="16">
        <f t="shared" si="68"/>
        <v>63175000</v>
      </c>
    </row>
    <row r="372" spans="1:18" s="1" customFormat="1" ht="25.5" hidden="1" x14ac:dyDescent="0.2">
      <c r="A372" s="36"/>
      <c r="B372" s="3"/>
      <c r="C372" s="3"/>
      <c r="D372" s="35" t="s">
        <v>670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29</v>
      </c>
      <c r="B373" s="3" t="s">
        <v>359</v>
      </c>
      <c r="C373" s="3" t="s">
        <v>296</v>
      </c>
      <c r="D373" s="73" t="s">
        <v>360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47</v>
      </c>
      <c r="B374" s="20" t="s">
        <v>632</v>
      </c>
      <c r="C374" s="20" t="s">
        <v>298</v>
      </c>
      <c r="D374" s="24" t="s">
        <v>302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644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45</v>
      </c>
      <c r="B376" s="22" t="s">
        <v>46</v>
      </c>
      <c r="C376" s="22" t="s">
        <v>525</v>
      </c>
      <c r="D376" s="21" t="s">
        <v>48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44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141</v>
      </c>
      <c r="B378" s="20" t="s">
        <v>351</v>
      </c>
      <c r="C378" s="4" t="s">
        <v>297</v>
      </c>
      <c r="D378" s="47" t="s">
        <v>252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142</v>
      </c>
      <c r="B379" s="4" t="s">
        <v>350</v>
      </c>
      <c r="C379" s="4" t="s">
        <v>296</v>
      </c>
      <c r="D379" s="72" t="s">
        <v>502</v>
      </c>
      <c r="E379" s="11">
        <f>F379+I379</f>
        <v>0</v>
      </c>
      <c r="F379" s="11"/>
      <c r="G379" s="11"/>
      <c r="H379" s="11"/>
      <c r="I379" s="11"/>
      <c r="J379" s="11">
        <f>L379+O379</f>
        <v>4700000</v>
      </c>
      <c r="K379" s="11">
        <v>4700000</v>
      </c>
      <c r="L379" s="11"/>
      <c r="M379" s="11"/>
      <c r="N379" s="11"/>
      <c r="O379" s="12">
        <f>K379</f>
        <v>4700000</v>
      </c>
      <c r="P379" s="13">
        <f>E379+J379</f>
        <v>4700000</v>
      </c>
    </row>
    <row r="380" spans="1:18" s="1" customFormat="1" x14ac:dyDescent="0.2">
      <c r="A380" s="36" t="s">
        <v>47</v>
      </c>
      <c r="B380" s="22" t="s">
        <v>632</v>
      </c>
      <c r="C380" s="4" t="s">
        <v>298</v>
      </c>
      <c r="D380" s="14" t="s">
        <v>302</v>
      </c>
      <c r="E380" s="11"/>
      <c r="F380" s="33"/>
      <c r="G380" s="33"/>
      <c r="H380" s="33"/>
      <c r="I380" s="33"/>
      <c r="J380" s="11">
        <f>L380+O380</f>
        <v>26000000</v>
      </c>
      <c r="K380" s="33"/>
      <c r="L380" s="33"/>
      <c r="M380" s="33"/>
      <c r="N380" s="33"/>
      <c r="O380" s="33">
        <f>O381</f>
        <v>26000000</v>
      </c>
      <c r="P380" s="13">
        <f>E380+J380</f>
        <v>26000000</v>
      </c>
    </row>
    <row r="381" spans="1:18" s="1" customFormat="1" ht="25.5" x14ac:dyDescent="0.2">
      <c r="A381" s="36"/>
      <c r="B381" s="22"/>
      <c r="C381" s="3"/>
      <c r="D381" s="24" t="s">
        <v>644</v>
      </c>
      <c r="E381" s="11"/>
      <c r="F381" s="33"/>
      <c r="G381" s="33"/>
      <c r="H381" s="33"/>
      <c r="I381" s="33"/>
      <c r="J381" s="11">
        <f>L381+O381</f>
        <v>26000000</v>
      </c>
      <c r="K381" s="33"/>
      <c r="L381" s="33"/>
      <c r="M381" s="33"/>
      <c r="N381" s="33"/>
      <c r="O381" s="33">
        <v>26000000</v>
      </c>
      <c r="P381" s="13">
        <f>E381+J381</f>
        <v>26000000</v>
      </c>
    </row>
    <row r="382" spans="1:18" s="1" customFormat="1" ht="25.5" hidden="1" x14ac:dyDescent="0.2">
      <c r="A382" s="36" t="s">
        <v>177</v>
      </c>
      <c r="B382" s="22" t="s">
        <v>176</v>
      </c>
      <c r="C382" s="22" t="s">
        <v>243</v>
      </c>
      <c r="D382" s="24" t="s">
        <v>175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245</v>
      </c>
      <c r="E383" s="25">
        <f>E385</f>
        <v>11870000</v>
      </c>
      <c r="F383" s="25">
        <f t="shared" ref="F383:O383" si="73">F385</f>
        <v>11870000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12099000</v>
      </c>
      <c r="R383" s="34"/>
    </row>
    <row r="384" spans="1:18" s="1" customFormat="1" hidden="1" x14ac:dyDescent="0.2">
      <c r="A384" s="36"/>
      <c r="B384" s="18"/>
      <c r="C384" s="3"/>
      <c r="D384" s="15" t="s">
        <v>643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510</v>
      </c>
      <c r="B385" s="8"/>
      <c r="C385" s="7"/>
      <c r="D385" s="15" t="s">
        <v>245</v>
      </c>
      <c r="E385" s="25">
        <f>E386+E388+E391+E396</f>
        <v>11870000</v>
      </c>
      <c r="F385" s="25">
        <f>F386+F388+F391+F396+F398</f>
        <v>11870000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12099000</v>
      </c>
    </row>
    <row r="386" spans="1:18" ht="25.5" x14ac:dyDescent="0.2">
      <c r="A386" s="41" t="s">
        <v>511</v>
      </c>
      <c r="B386" s="4" t="s">
        <v>362</v>
      </c>
      <c r="C386" s="4" t="s">
        <v>290</v>
      </c>
      <c r="D386" s="14" t="s">
        <v>73</v>
      </c>
      <c r="E386" s="11">
        <f t="shared" ref="E386:E393" si="74">F386+I386</f>
        <v>1971000</v>
      </c>
      <c r="F386" s="12">
        <v>1971000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2001000</v>
      </c>
    </row>
    <row r="387" spans="1:18" hidden="1" x14ac:dyDescent="0.2">
      <c r="A387" s="41" t="s">
        <v>522</v>
      </c>
      <c r="B387" s="4" t="s">
        <v>521</v>
      </c>
      <c r="C387" s="4" t="s">
        <v>293</v>
      </c>
      <c r="D387" s="14" t="s">
        <v>520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513</v>
      </c>
      <c r="B388" s="4" t="s">
        <v>512</v>
      </c>
      <c r="C388" s="4" t="s">
        <v>295</v>
      </c>
      <c r="D388" s="21" t="s">
        <v>154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522</v>
      </c>
      <c r="B389" s="3" t="s">
        <v>521</v>
      </c>
      <c r="C389" s="3" t="s">
        <v>293</v>
      </c>
      <c r="D389" s="73" t="s">
        <v>520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643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516</v>
      </c>
      <c r="B391" s="4" t="s">
        <v>515</v>
      </c>
      <c r="C391" s="4" t="s">
        <v>296</v>
      </c>
      <c r="D391" s="5" t="s">
        <v>514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519</v>
      </c>
      <c r="B392" s="4" t="s">
        <v>518</v>
      </c>
      <c r="C392" s="4"/>
      <c r="D392" s="72" t="s">
        <v>517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687</v>
      </c>
      <c r="B393" s="3" t="s">
        <v>688</v>
      </c>
      <c r="C393" s="3"/>
      <c r="D393" s="82" t="s">
        <v>689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0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636</v>
      </c>
      <c r="B395" s="4" t="s">
        <v>350</v>
      </c>
      <c r="C395" s="4" t="s">
        <v>296</v>
      </c>
      <c r="D395" s="82" t="s">
        <v>502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622</v>
      </c>
      <c r="B396" s="4" t="s">
        <v>355</v>
      </c>
      <c r="C396" s="4"/>
      <c r="D396" s="82" t="s">
        <v>357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623</v>
      </c>
      <c r="B398" s="4" t="s">
        <v>359</v>
      </c>
      <c r="C398" s="4" t="s">
        <v>296</v>
      </c>
      <c r="D398" s="82" t="s">
        <v>360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115</v>
      </c>
      <c r="B399" s="6"/>
      <c r="C399" s="7"/>
      <c r="D399" s="31" t="s">
        <v>130</v>
      </c>
      <c r="E399" s="25">
        <f>E400</f>
        <v>8182600</v>
      </c>
      <c r="F399" s="25">
        <f t="shared" ref="F399:P400" si="78">F400</f>
        <v>8182600</v>
      </c>
      <c r="G399" s="25">
        <f t="shared" si="78"/>
        <v>6252500</v>
      </c>
      <c r="H399" s="25">
        <f t="shared" si="78"/>
        <v>247700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8262600</v>
      </c>
      <c r="R399" s="34"/>
    </row>
    <row r="400" spans="1:18" ht="25.5" x14ac:dyDescent="0.2">
      <c r="A400" s="41" t="s">
        <v>116</v>
      </c>
      <c r="B400" s="8"/>
      <c r="C400" s="7"/>
      <c r="D400" s="15" t="s">
        <v>130</v>
      </c>
      <c r="E400" s="25">
        <f>E401</f>
        <v>8182600</v>
      </c>
      <c r="F400" s="25">
        <f t="shared" si="78"/>
        <v>8182600</v>
      </c>
      <c r="G400" s="25">
        <f t="shared" si="78"/>
        <v>6252500</v>
      </c>
      <c r="H400" s="25">
        <f t="shared" si="78"/>
        <v>247700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8262600</v>
      </c>
    </row>
    <row r="401" spans="1:18" ht="25.9" customHeight="1" x14ac:dyDescent="0.2">
      <c r="A401" s="41" t="s">
        <v>117</v>
      </c>
      <c r="B401" s="4" t="s">
        <v>362</v>
      </c>
      <c r="C401" s="4" t="s">
        <v>290</v>
      </c>
      <c r="D401" s="14" t="s">
        <v>73</v>
      </c>
      <c r="E401" s="11">
        <f>F401+I401</f>
        <v>8182600</v>
      </c>
      <c r="F401" s="12">
        <f>8120800+6800+25000+30000</f>
        <v>8182600</v>
      </c>
      <c r="G401" s="12">
        <v>6252500</v>
      </c>
      <c r="H401" s="12">
        <f>192700+25000+30000</f>
        <v>247700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8262600</v>
      </c>
    </row>
    <row r="402" spans="1:18" ht="15" customHeight="1" x14ac:dyDescent="0.2">
      <c r="A402" s="62">
        <v>3700000</v>
      </c>
      <c r="B402" s="6"/>
      <c r="C402" s="7"/>
      <c r="D402" s="31" t="s">
        <v>246</v>
      </c>
      <c r="E402" s="25">
        <f>E403</f>
        <v>46905848</v>
      </c>
      <c r="F402" s="25">
        <f t="shared" ref="F402:O402" si="79">F403</f>
        <v>41905848</v>
      </c>
      <c r="G402" s="25">
        <f t="shared" si="79"/>
        <v>7800000</v>
      </c>
      <c r="H402" s="25">
        <f t="shared" si="79"/>
        <v>376800</v>
      </c>
      <c r="I402" s="25">
        <f t="shared" si="79"/>
        <v>0</v>
      </c>
      <c r="J402" s="25">
        <f t="shared" si="79"/>
        <v>100000</v>
      </c>
      <c r="K402" s="25">
        <f>K403</f>
        <v>100000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100000</v>
      </c>
      <c r="P402" s="13">
        <f t="shared" si="76"/>
        <v>47005848</v>
      </c>
      <c r="R402" s="34"/>
    </row>
    <row r="403" spans="1:18" x14ac:dyDescent="0.2">
      <c r="A403" s="41" t="s">
        <v>523</v>
      </c>
      <c r="B403" s="8"/>
      <c r="C403" s="7"/>
      <c r="D403" s="15" t="s">
        <v>246</v>
      </c>
      <c r="E403" s="25">
        <f>E404+E406+E408+E405+E407</f>
        <v>46905848</v>
      </c>
      <c r="F403" s="25">
        <f t="shared" ref="F403:P403" si="80">F404+F406+F408+F405+F407</f>
        <v>41905848</v>
      </c>
      <c r="G403" s="25">
        <f t="shared" si="80"/>
        <v>7800000</v>
      </c>
      <c r="H403" s="25">
        <f t="shared" si="80"/>
        <v>376800</v>
      </c>
      <c r="I403" s="25">
        <f t="shared" si="80"/>
        <v>0</v>
      </c>
      <c r="J403" s="25">
        <f>J404+J406+J408+J405+J407</f>
        <v>100000</v>
      </c>
      <c r="K403" s="25">
        <f>K404+K406+K408+K405+K407</f>
        <v>100000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100000</v>
      </c>
      <c r="P403" s="25">
        <f t="shared" si="80"/>
        <v>47005848</v>
      </c>
    </row>
    <row r="404" spans="1:18" ht="25.9" customHeight="1" x14ac:dyDescent="0.2">
      <c r="A404" s="41" t="s">
        <v>524</v>
      </c>
      <c r="B404" s="4" t="s">
        <v>362</v>
      </c>
      <c r="C404" s="4" t="s">
        <v>290</v>
      </c>
      <c r="D404" s="14" t="s">
        <v>73</v>
      </c>
      <c r="E404" s="11">
        <f>F404+I404</f>
        <v>10343900</v>
      </c>
      <c r="F404" s="12">
        <f>10273900+50000+20000</f>
        <v>10343900</v>
      </c>
      <c r="G404" s="12">
        <v>7800000</v>
      </c>
      <c r="H404" s="12">
        <f>356800+20000</f>
        <v>376800</v>
      </c>
      <c r="I404" s="12"/>
      <c r="J404" s="11">
        <f>L404+O404</f>
        <v>100000</v>
      </c>
      <c r="K404" s="12">
        <v>100000</v>
      </c>
      <c r="L404" s="12"/>
      <c r="M404" s="12"/>
      <c r="N404" s="12"/>
      <c r="O404" s="12">
        <f>K404</f>
        <v>100000</v>
      </c>
      <c r="P404" s="13">
        <f>E404+J404</f>
        <v>10443900</v>
      </c>
    </row>
    <row r="405" spans="1:18" x14ac:dyDescent="0.2">
      <c r="A405" s="41" t="s">
        <v>672</v>
      </c>
      <c r="B405" s="4" t="s">
        <v>202</v>
      </c>
      <c r="C405" s="4" t="s">
        <v>673</v>
      </c>
      <c r="D405" s="47" t="s">
        <v>674</v>
      </c>
      <c r="E405" s="11">
        <f>F405+I405</f>
        <v>29561948</v>
      </c>
      <c r="F405" s="12">
        <f>30000000-200152-7900-100000-50000-80000</f>
        <v>29561948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29561948</v>
      </c>
    </row>
    <row r="406" spans="1:18" x14ac:dyDescent="0.2">
      <c r="A406" s="41" t="s">
        <v>108</v>
      </c>
      <c r="B406" s="20" t="s">
        <v>109</v>
      </c>
      <c r="C406" s="4" t="s">
        <v>303</v>
      </c>
      <c r="D406" s="14" t="s">
        <v>110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x14ac:dyDescent="0.2">
      <c r="A407" s="41" t="s">
        <v>657</v>
      </c>
      <c r="B407" s="8" t="s">
        <v>658</v>
      </c>
      <c r="C407" s="4" t="s">
        <v>647</v>
      </c>
      <c r="D407" s="14" t="s">
        <v>659</v>
      </c>
      <c r="E407" s="25">
        <f>F407</f>
        <v>2000000</v>
      </c>
      <c r="F407" s="12">
        <f>1900000+100000</f>
        <v>2000000</v>
      </c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2000000</v>
      </c>
    </row>
    <row r="408" spans="1:18" ht="25.5" hidden="1" x14ac:dyDescent="0.2">
      <c r="A408" s="41" t="s">
        <v>648</v>
      </c>
      <c r="B408" s="8" t="s">
        <v>645</v>
      </c>
      <c r="C408" s="4" t="s">
        <v>647</v>
      </c>
      <c r="D408" s="14" t="s">
        <v>646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247</v>
      </c>
      <c r="E409" s="25">
        <f t="shared" ref="E409:P409" si="81">E14+E42+E96+E154+E245+E251+E265+E282+E312+E383+E402+E399</f>
        <v>1116590472</v>
      </c>
      <c r="F409" s="25">
        <f t="shared" si="81"/>
        <v>1111590472</v>
      </c>
      <c r="G409" s="25">
        <f t="shared" si="81"/>
        <v>590230589</v>
      </c>
      <c r="H409" s="25">
        <f t="shared" si="81"/>
        <v>132165431</v>
      </c>
      <c r="I409" s="25">
        <f t="shared" si="81"/>
        <v>0</v>
      </c>
      <c r="J409" s="25">
        <f t="shared" si="81"/>
        <v>140584963</v>
      </c>
      <c r="K409" s="25">
        <f t="shared" si="81"/>
        <v>89535263</v>
      </c>
      <c r="L409" s="25">
        <f t="shared" si="81"/>
        <v>24679100</v>
      </c>
      <c r="M409" s="25">
        <f t="shared" si="81"/>
        <v>3094470</v>
      </c>
      <c r="N409" s="25">
        <f t="shared" si="81"/>
        <v>81429</v>
      </c>
      <c r="O409" s="25">
        <f t="shared" si="81"/>
        <v>115905863</v>
      </c>
      <c r="P409" s="25">
        <f t="shared" si="81"/>
        <v>1257175435</v>
      </c>
      <c r="R409" s="34"/>
    </row>
    <row r="410" spans="1:18" x14ac:dyDescent="0.2">
      <c r="P410" s="34"/>
    </row>
    <row r="411" spans="1:18" ht="19.5" customHeight="1" x14ac:dyDescent="0.2">
      <c r="D411" s="92" t="s">
        <v>62</v>
      </c>
      <c r="E411" s="92"/>
      <c r="F411" s="92"/>
      <c r="G411" s="92"/>
      <c r="H411" s="92"/>
      <c r="I411" s="92"/>
      <c r="J411" s="92"/>
      <c r="K411" s="92"/>
      <c r="O411" s="92" t="s">
        <v>63</v>
      </c>
    </row>
    <row r="412" spans="1:18" ht="26.45" customHeight="1" x14ac:dyDescent="0.25">
      <c r="D412" s="116" t="s">
        <v>69</v>
      </c>
      <c r="E412" s="117"/>
      <c r="O412" s="2" t="s">
        <v>70</v>
      </c>
    </row>
    <row r="413" spans="1:18" ht="13.9" customHeight="1" x14ac:dyDescent="0.2"/>
    <row r="414" spans="1:18" ht="18" hidden="1" customHeight="1" x14ac:dyDescent="0.2">
      <c r="E414" s="103">
        <f>[1]Лист1!$D$108</f>
        <v>1241465335</v>
      </c>
      <c r="F414" s="93"/>
      <c r="G414" s="93"/>
      <c r="H414" s="93"/>
      <c r="I414" s="93"/>
      <c r="J414" s="105">
        <f>[1]Лист1!$E$108</f>
        <v>59549700</v>
      </c>
      <c r="K414" s="105">
        <f>[1]Лист1!$F$108</f>
        <v>8500000</v>
      </c>
      <c r="L414" s="101"/>
      <c r="M414" s="101"/>
      <c r="N414" s="101"/>
      <c r="O414" s="101"/>
      <c r="P414" s="105">
        <f>[1]Лист1!$C$108</f>
        <v>1301015035</v>
      </c>
      <c r="Q414" s="2" t="s">
        <v>65</v>
      </c>
    </row>
    <row r="415" spans="1:18" hidden="1" x14ac:dyDescent="0.2">
      <c r="E415" s="93">
        <f>E409-E414</f>
        <v>-124874863</v>
      </c>
      <c r="F415" s="93"/>
      <c r="G415" s="93"/>
      <c r="H415" s="93"/>
      <c r="I415" s="93"/>
      <c r="J415" s="101">
        <f>J414-J409</f>
        <v>-81035263</v>
      </c>
      <c r="K415" s="101">
        <f>K414-K409</f>
        <v>-81035263</v>
      </c>
      <c r="L415" s="101"/>
      <c r="M415" s="101"/>
      <c r="N415" s="101"/>
      <c r="O415" s="101"/>
      <c r="P415" s="101">
        <f>P414-P409</f>
        <v>43839600</v>
      </c>
      <c r="Q415" s="2" t="s">
        <v>66</v>
      </c>
    </row>
    <row r="416" spans="1:18" hidden="1" x14ac:dyDescent="0.2">
      <c r="E416" s="103">
        <f>'[2]додаток 2  (3)'!$D$46</f>
        <v>-124874863</v>
      </c>
      <c r="F416" s="93"/>
      <c r="G416" s="93"/>
      <c r="H416" s="93"/>
      <c r="I416" s="93"/>
      <c r="J416" s="105">
        <f>'[2]додаток 2  (3)'!$E$46</f>
        <v>72835263</v>
      </c>
      <c r="K416" s="105">
        <f>'[2]додаток 2  (3)'!$F$46</f>
        <v>72835263</v>
      </c>
      <c r="L416" s="101"/>
      <c r="M416" s="101"/>
      <c r="N416" s="101"/>
      <c r="O416" s="101"/>
      <c r="P416" s="105">
        <f>'[2]додаток 2  (3)'!$C$46</f>
        <v>-52039600</v>
      </c>
      <c r="Q416" s="2" t="s">
        <v>67</v>
      </c>
    </row>
    <row r="417" spans="4:17" hidden="1" x14ac:dyDescent="0.2">
      <c r="E417" s="93">
        <f>E415-E416</f>
        <v>0</v>
      </c>
      <c r="F417" s="93"/>
      <c r="G417" s="93"/>
      <c r="H417" s="93"/>
      <c r="I417" s="93"/>
      <c r="J417" s="101">
        <f>J415+J416</f>
        <v>-8200000</v>
      </c>
      <c r="K417" s="101">
        <f>K415+K416</f>
        <v>-8200000</v>
      </c>
      <c r="L417" s="101"/>
      <c r="M417" s="101"/>
      <c r="N417" s="101"/>
      <c r="O417" s="101"/>
      <c r="P417" s="101">
        <f>P415+P416</f>
        <v>-8200000</v>
      </c>
    </row>
    <row r="418" spans="4:17" hidden="1" x14ac:dyDescent="0.2">
      <c r="E418" s="93">
        <v>0</v>
      </c>
      <c r="F418" s="93"/>
      <c r="G418" s="93"/>
      <c r="H418" s="93"/>
      <c r="I418" s="93"/>
      <c r="J418" s="105">
        <v>-8200000</v>
      </c>
      <c r="K418" s="105">
        <v>-8200000</v>
      </c>
      <c r="L418" s="101"/>
      <c r="M418" s="101"/>
      <c r="N418" s="101"/>
      <c r="O418" s="101"/>
      <c r="P418" s="105">
        <v>-8200000</v>
      </c>
      <c r="Q418" s="2" t="s">
        <v>68</v>
      </c>
    </row>
    <row r="419" spans="4:17" hidden="1" x14ac:dyDescent="0.2">
      <c r="E419" s="93">
        <f>E417+E418</f>
        <v>0</v>
      </c>
      <c r="F419" s="93"/>
      <c r="G419" s="93"/>
      <c r="H419" s="93"/>
      <c r="I419" s="93"/>
      <c r="J419" s="101">
        <f>J417-J418</f>
        <v>0</v>
      </c>
      <c r="K419" s="101">
        <f>K417-K418</f>
        <v>0</v>
      </c>
      <c r="L419" s="101"/>
      <c r="M419" s="101"/>
      <c r="N419" s="101"/>
      <c r="O419" s="101"/>
      <c r="P419" s="101">
        <f>P417-P418</f>
        <v>0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4.4779174866539607E-3</v>
      </c>
    </row>
    <row r="423" spans="4:17" hidden="1" x14ac:dyDescent="0.2">
      <c r="E423" s="2">
        <f>E406/E409*100</f>
        <v>0.44779174866539606</v>
      </c>
    </row>
    <row r="424" spans="4:17" hidden="1" x14ac:dyDescent="0.2">
      <c r="D424" s="104"/>
    </row>
    <row r="425" spans="4:17" hidden="1" x14ac:dyDescent="0.2">
      <c r="E425" s="104" t="s">
        <v>128</v>
      </c>
      <c r="F425" s="2">
        <f>F17+F52+F106+F157+F247+F254+F267+F322+F386+F401+F404</f>
        <v>132525020</v>
      </c>
      <c r="G425" s="2">
        <f>G17+G52+G106+G157+G247+G254+G267+G322+G386+G401+G404</f>
        <v>98084500</v>
      </c>
      <c r="H425" s="2">
        <f>H17+H52+H106+H157+H247+H254+H267+H322+H386+H401+H404</f>
        <v>5435800</v>
      </c>
    </row>
    <row r="426" spans="4:17" hidden="1" x14ac:dyDescent="0.2"/>
  </sheetData>
  <mergeCells count="25">
    <mergeCell ref="D412:E412"/>
    <mergeCell ref="L10:L12"/>
    <mergeCell ref="G11:G12"/>
    <mergeCell ref="H11:H12"/>
    <mergeCell ref="I10:I12"/>
    <mergeCell ref="E10:E12"/>
    <mergeCell ref="F10:F12"/>
    <mergeCell ref="J10:J12"/>
    <mergeCell ref="M10:N10"/>
    <mergeCell ref="P9:P12"/>
    <mergeCell ref="J9:O9"/>
    <mergeCell ref="E9:I9"/>
    <mergeCell ref="K10:K12"/>
    <mergeCell ref="G10:H10"/>
    <mergeCell ref="O10:O12"/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2021-12-24T11:20:04Z</cp:lastPrinted>
  <dcterms:created xsi:type="dcterms:W3CDTF">2016-02-15T14:53:30Z</dcterms:created>
  <dcterms:modified xsi:type="dcterms:W3CDTF">2021-12-24T12:10:27Z</dcterms:modified>
</cp:coreProperties>
</file>